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i\Google Drive\UNTAN\Jadwal MK\GENAP\JADWAL MK GENAP 2022 2023\"/>
    </mc:Choice>
  </mc:AlternateContent>
  <xr:revisionPtr revIDLastSave="0" documentId="13_ncr:1_{491EBBF5-D3C8-4E9C-BCD0-438471625F3A}" xr6:coauthVersionLast="47" xr6:coauthVersionMax="47" xr10:uidLastSave="{00000000-0000-0000-0000-000000000000}"/>
  <bookViews>
    <workbookView xWindow="-108" yWindow="-108" windowWidth="23256" windowHeight="12576" firstSheet="2" activeTab="4" xr2:uid="{8A7666D7-1ECF-4629-81A4-65E6344AEB4A}"/>
  </bookViews>
  <sheets>
    <sheet name="HOW TO USE" sheetId="14" r:id="rId1"/>
    <sheet name="DASHBOARD" sheetId="5" r:id="rId2"/>
    <sheet name="SELECT KELAS GENAP" sheetId="12" r:id="rId3"/>
    <sheet name="PROGRAM JADWAL GENAP" sheetId="16" r:id="rId4"/>
    <sheet name="GEN JADWAL GENAP" sheetId="18" r:id="rId5"/>
    <sheet name="PROGRAM SIMULASI GENAP" sheetId="17" r:id="rId6"/>
    <sheet name="TABLE MK" sheetId="2" r:id="rId7"/>
    <sheet name="UNTUK GENERATE" sheetId="10" r:id="rId8"/>
    <sheet name="PROGRAM JADWAL GASAL" sheetId="9" r:id="rId9"/>
    <sheet name="SELECT KELAS GASAL" sheetId="3" r:id="rId10"/>
    <sheet name="GEN JADWAL GASAL" sheetId="13" r:id="rId11"/>
    <sheet name="TABLE DOSEN" sheetId="8" r:id="rId12"/>
    <sheet name="TABLE SISTEM" sheetId="7" r:id="rId13"/>
  </sheets>
  <definedNames>
    <definedName name="_xlnm.Print_Area" localSheetId="1">DASHBOARD!$A$1:$U$35</definedName>
    <definedName name="_xlnm.Print_Area" localSheetId="10">'GEN JADWAL GASAL'!$A$1:$L$122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8" l="1"/>
  <c r="C9" i="18"/>
  <c r="D9" i="18"/>
  <c r="E9" i="18"/>
  <c r="F9" i="18"/>
  <c r="G9" i="18"/>
  <c r="H9" i="18"/>
  <c r="I9" i="18"/>
  <c r="J9" i="18"/>
  <c r="K9" i="18"/>
  <c r="L9" i="18"/>
  <c r="B10" i="18"/>
  <c r="C10" i="18"/>
  <c r="D10" i="18"/>
  <c r="E10" i="18"/>
  <c r="F10" i="18"/>
  <c r="G10" i="18"/>
  <c r="H10" i="18"/>
  <c r="I10" i="18"/>
  <c r="J10" i="18"/>
  <c r="K10" i="18"/>
  <c r="L10" i="18"/>
  <c r="B11" i="18"/>
  <c r="C11" i="18"/>
  <c r="D11" i="18"/>
  <c r="E11" i="18"/>
  <c r="F11" i="18"/>
  <c r="G11" i="18"/>
  <c r="H11" i="18"/>
  <c r="I11" i="18"/>
  <c r="J11" i="18"/>
  <c r="K11" i="18"/>
  <c r="L11" i="18"/>
  <c r="B12" i="18"/>
  <c r="C12" i="18"/>
  <c r="D12" i="18"/>
  <c r="E12" i="18"/>
  <c r="F12" i="18"/>
  <c r="G12" i="18"/>
  <c r="H12" i="18"/>
  <c r="I12" i="18"/>
  <c r="J12" i="18"/>
  <c r="K12" i="18"/>
  <c r="L12" i="18"/>
  <c r="B13" i="18"/>
  <c r="C13" i="18"/>
  <c r="D13" i="18"/>
  <c r="E13" i="18"/>
  <c r="F13" i="18"/>
  <c r="G13" i="18"/>
  <c r="H13" i="18"/>
  <c r="I13" i="18"/>
  <c r="J13" i="18"/>
  <c r="K13" i="18"/>
  <c r="L13" i="18"/>
  <c r="B14" i="18"/>
  <c r="C14" i="18"/>
  <c r="D14" i="18"/>
  <c r="E14" i="18"/>
  <c r="F14" i="18"/>
  <c r="G14" i="18"/>
  <c r="H14" i="18"/>
  <c r="I14" i="18"/>
  <c r="J14" i="18"/>
  <c r="K14" i="18"/>
  <c r="L14" i="18"/>
  <c r="B15" i="18"/>
  <c r="C15" i="18"/>
  <c r="D15" i="18"/>
  <c r="E15" i="18"/>
  <c r="F15" i="18"/>
  <c r="G15" i="18"/>
  <c r="H15" i="18"/>
  <c r="I15" i="18"/>
  <c r="J15" i="18"/>
  <c r="K15" i="18"/>
  <c r="L15" i="18"/>
  <c r="B16" i="18"/>
  <c r="C16" i="18"/>
  <c r="D16" i="18"/>
  <c r="E16" i="18"/>
  <c r="F16" i="18"/>
  <c r="G16" i="18"/>
  <c r="H16" i="18"/>
  <c r="I16" i="18"/>
  <c r="J16" i="18"/>
  <c r="K16" i="18"/>
  <c r="L16" i="18"/>
  <c r="B17" i="18"/>
  <c r="C17" i="18"/>
  <c r="D17" i="18"/>
  <c r="E17" i="18"/>
  <c r="F17" i="18"/>
  <c r="G17" i="18"/>
  <c r="H17" i="18"/>
  <c r="I17" i="18"/>
  <c r="J17" i="18"/>
  <c r="K17" i="18"/>
  <c r="L17" i="18"/>
  <c r="B18" i="18"/>
  <c r="C18" i="18"/>
  <c r="D18" i="18"/>
  <c r="E18" i="18"/>
  <c r="F18" i="18"/>
  <c r="G18" i="18"/>
  <c r="H18" i="18"/>
  <c r="I18" i="18"/>
  <c r="J18" i="18"/>
  <c r="K18" i="18"/>
  <c r="L18" i="18"/>
  <c r="B19" i="18"/>
  <c r="C19" i="18"/>
  <c r="D19" i="18"/>
  <c r="E19" i="18"/>
  <c r="F19" i="18"/>
  <c r="G19" i="18"/>
  <c r="H19" i="18"/>
  <c r="I19" i="18"/>
  <c r="J19" i="18"/>
  <c r="K19" i="18"/>
  <c r="L19" i="18"/>
  <c r="B20" i="18"/>
  <c r="C20" i="18"/>
  <c r="D20" i="18"/>
  <c r="E20" i="18"/>
  <c r="F20" i="18"/>
  <c r="G20" i="18"/>
  <c r="H20" i="18"/>
  <c r="I20" i="18"/>
  <c r="J20" i="18"/>
  <c r="K20" i="18"/>
  <c r="L20" i="18"/>
  <c r="B21" i="18"/>
  <c r="C21" i="18"/>
  <c r="D21" i="18"/>
  <c r="E21" i="18"/>
  <c r="F21" i="18"/>
  <c r="G21" i="18"/>
  <c r="H21" i="18"/>
  <c r="I21" i="18"/>
  <c r="J21" i="18"/>
  <c r="K21" i="18"/>
  <c r="L21" i="18"/>
  <c r="B22" i="18"/>
  <c r="C22" i="18"/>
  <c r="D22" i="18"/>
  <c r="E22" i="18"/>
  <c r="F22" i="18"/>
  <c r="G22" i="18"/>
  <c r="H22" i="18"/>
  <c r="I22" i="18"/>
  <c r="J22" i="18"/>
  <c r="K22" i="18"/>
  <c r="L22" i="18"/>
  <c r="B23" i="18"/>
  <c r="C23" i="18"/>
  <c r="D23" i="18"/>
  <c r="E23" i="18"/>
  <c r="F23" i="18"/>
  <c r="G23" i="18"/>
  <c r="H23" i="18"/>
  <c r="I23" i="18"/>
  <c r="J23" i="18"/>
  <c r="K23" i="18"/>
  <c r="L23" i="18"/>
  <c r="B24" i="18"/>
  <c r="C24" i="18"/>
  <c r="D24" i="18"/>
  <c r="E24" i="18"/>
  <c r="F24" i="18"/>
  <c r="G24" i="18"/>
  <c r="H24" i="18"/>
  <c r="I24" i="18"/>
  <c r="J24" i="18"/>
  <c r="K24" i="18"/>
  <c r="L24" i="18"/>
  <c r="B25" i="18"/>
  <c r="C25" i="18"/>
  <c r="D25" i="18"/>
  <c r="E25" i="18"/>
  <c r="F25" i="18"/>
  <c r="G25" i="18"/>
  <c r="H25" i="18"/>
  <c r="I25" i="18"/>
  <c r="J25" i="18"/>
  <c r="K25" i="18"/>
  <c r="L25" i="18"/>
  <c r="B26" i="18"/>
  <c r="C26" i="18"/>
  <c r="D26" i="18"/>
  <c r="E26" i="18"/>
  <c r="F26" i="18"/>
  <c r="G26" i="18"/>
  <c r="H26" i="18"/>
  <c r="I26" i="18"/>
  <c r="J26" i="18"/>
  <c r="K26" i="18"/>
  <c r="L26" i="18"/>
  <c r="B27" i="18"/>
  <c r="C27" i="18"/>
  <c r="D27" i="18"/>
  <c r="E27" i="18"/>
  <c r="F27" i="18"/>
  <c r="G27" i="18"/>
  <c r="H27" i="18"/>
  <c r="I27" i="18"/>
  <c r="J27" i="18"/>
  <c r="K27" i="18"/>
  <c r="L27" i="18"/>
  <c r="B28" i="18"/>
  <c r="C28" i="18"/>
  <c r="D28" i="18"/>
  <c r="E28" i="18"/>
  <c r="F28" i="18"/>
  <c r="G28" i="18"/>
  <c r="H28" i="18"/>
  <c r="I28" i="18"/>
  <c r="J28" i="18"/>
  <c r="K28" i="18"/>
  <c r="L28" i="18"/>
  <c r="B29" i="18"/>
  <c r="C29" i="18"/>
  <c r="D29" i="18"/>
  <c r="E29" i="18"/>
  <c r="F29" i="18"/>
  <c r="G29" i="18"/>
  <c r="H29" i="18"/>
  <c r="I29" i="18"/>
  <c r="J29" i="18"/>
  <c r="K29" i="18"/>
  <c r="L29" i="18"/>
  <c r="B30" i="18"/>
  <c r="C30" i="18"/>
  <c r="D30" i="18"/>
  <c r="E30" i="18"/>
  <c r="F30" i="18"/>
  <c r="G30" i="18"/>
  <c r="H30" i="18"/>
  <c r="I30" i="18"/>
  <c r="J30" i="18"/>
  <c r="K30" i="18"/>
  <c r="L30" i="18"/>
  <c r="B31" i="18"/>
  <c r="C31" i="18"/>
  <c r="D31" i="18"/>
  <c r="E31" i="18"/>
  <c r="F31" i="18"/>
  <c r="G31" i="18"/>
  <c r="H31" i="18"/>
  <c r="I31" i="18"/>
  <c r="J31" i="18"/>
  <c r="K31" i="18"/>
  <c r="L31" i="18"/>
  <c r="A32" i="18"/>
  <c r="B32" i="18"/>
  <c r="C32" i="18"/>
  <c r="D32" i="18"/>
  <c r="E32" i="18"/>
  <c r="F32" i="18"/>
  <c r="G32" i="18"/>
  <c r="H32" i="18"/>
  <c r="I32" i="18"/>
  <c r="J32" i="18"/>
  <c r="K32" i="18"/>
  <c r="L32" i="18"/>
  <c r="A33" i="18"/>
  <c r="B33" i="18"/>
  <c r="C33" i="18"/>
  <c r="D33" i="18"/>
  <c r="E33" i="18"/>
  <c r="F33" i="18"/>
  <c r="G33" i="18"/>
  <c r="H33" i="18"/>
  <c r="I33" i="18"/>
  <c r="J33" i="18"/>
  <c r="K33" i="18"/>
  <c r="L33" i="18"/>
  <c r="A34" i="18"/>
  <c r="B34" i="18"/>
  <c r="C34" i="18"/>
  <c r="D34" i="18"/>
  <c r="E34" i="18"/>
  <c r="F34" i="18"/>
  <c r="G34" i="18"/>
  <c r="H34" i="18"/>
  <c r="I34" i="18"/>
  <c r="J34" i="18"/>
  <c r="K34" i="18"/>
  <c r="L34" i="18"/>
  <c r="B35" i="18"/>
  <c r="C35" i="18"/>
  <c r="D35" i="18"/>
  <c r="E35" i="18"/>
  <c r="F35" i="18"/>
  <c r="G35" i="18"/>
  <c r="H35" i="18"/>
  <c r="I35" i="18"/>
  <c r="J35" i="18"/>
  <c r="K35" i="18"/>
  <c r="L35" i="18"/>
  <c r="B36" i="18"/>
  <c r="C36" i="18"/>
  <c r="D36" i="18"/>
  <c r="E36" i="18"/>
  <c r="F36" i="18"/>
  <c r="G36" i="18"/>
  <c r="H36" i="18"/>
  <c r="I36" i="18"/>
  <c r="J36" i="18"/>
  <c r="K36" i="18"/>
  <c r="L36" i="18"/>
  <c r="B37" i="18"/>
  <c r="C37" i="18"/>
  <c r="D37" i="18"/>
  <c r="E37" i="18"/>
  <c r="F37" i="18"/>
  <c r="G37" i="18"/>
  <c r="H37" i="18"/>
  <c r="I37" i="18"/>
  <c r="J37" i="18"/>
  <c r="K37" i="18"/>
  <c r="L37" i="18"/>
  <c r="B38" i="18"/>
  <c r="C38" i="18"/>
  <c r="D38" i="18"/>
  <c r="E38" i="18"/>
  <c r="F38" i="18"/>
  <c r="G38" i="18"/>
  <c r="H38" i="18"/>
  <c r="I38" i="18"/>
  <c r="J38" i="18"/>
  <c r="K38" i="18"/>
  <c r="L38" i="18"/>
  <c r="B39" i="18"/>
  <c r="C39" i="18"/>
  <c r="D39" i="18"/>
  <c r="E39" i="18"/>
  <c r="F39" i="18"/>
  <c r="G39" i="18"/>
  <c r="H39" i="18"/>
  <c r="I39" i="18"/>
  <c r="J39" i="18"/>
  <c r="K39" i="18"/>
  <c r="L39" i="18"/>
  <c r="B40" i="18"/>
  <c r="C40" i="18"/>
  <c r="D40" i="18"/>
  <c r="E40" i="18"/>
  <c r="F40" i="18"/>
  <c r="G40" i="18"/>
  <c r="H40" i="18"/>
  <c r="I40" i="18"/>
  <c r="J40" i="18"/>
  <c r="K40" i="18"/>
  <c r="L40" i="18"/>
  <c r="B41" i="18"/>
  <c r="C41" i="18"/>
  <c r="D41" i="18"/>
  <c r="E41" i="18"/>
  <c r="F41" i="18"/>
  <c r="G41" i="18"/>
  <c r="H41" i="18"/>
  <c r="I41" i="18"/>
  <c r="J41" i="18"/>
  <c r="K41" i="18"/>
  <c r="L41" i="18"/>
  <c r="B42" i="18"/>
  <c r="C42" i="18"/>
  <c r="D42" i="18"/>
  <c r="E42" i="18"/>
  <c r="F42" i="18"/>
  <c r="G42" i="18"/>
  <c r="H42" i="18"/>
  <c r="I42" i="18"/>
  <c r="J42" i="18"/>
  <c r="K42" i="18"/>
  <c r="L42" i="18"/>
  <c r="B43" i="18"/>
  <c r="C43" i="18"/>
  <c r="D43" i="18"/>
  <c r="E43" i="18"/>
  <c r="F43" i="18"/>
  <c r="G43" i="18"/>
  <c r="H43" i="18"/>
  <c r="I43" i="18"/>
  <c r="J43" i="18"/>
  <c r="K43" i="18"/>
  <c r="L43" i="18"/>
  <c r="B44" i="18"/>
  <c r="C44" i="18"/>
  <c r="D44" i="18"/>
  <c r="E44" i="18"/>
  <c r="F44" i="18"/>
  <c r="G44" i="18"/>
  <c r="H44" i="18"/>
  <c r="I44" i="18"/>
  <c r="J44" i="18"/>
  <c r="K44" i="18"/>
  <c r="L44" i="18"/>
  <c r="B45" i="18"/>
  <c r="C45" i="18"/>
  <c r="D45" i="18"/>
  <c r="E45" i="18"/>
  <c r="F45" i="18"/>
  <c r="G45" i="18"/>
  <c r="H45" i="18"/>
  <c r="I45" i="18"/>
  <c r="J45" i="18"/>
  <c r="K45" i="18"/>
  <c r="L45" i="18"/>
  <c r="B46" i="18"/>
  <c r="C46" i="18"/>
  <c r="D46" i="18"/>
  <c r="E46" i="18"/>
  <c r="F46" i="18"/>
  <c r="G46" i="18"/>
  <c r="H46" i="18"/>
  <c r="I46" i="18"/>
  <c r="J46" i="18"/>
  <c r="K46" i="18"/>
  <c r="L46" i="18"/>
  <c r="B47" i="18"/>
  <c r="C47" i="18"/>
  <c r="D47" i="18"/>
  <c r="E47" i="18"/>
  <c r="F47" i="18"/>
  <c r="G47" i="18"/>
  <c r="H47" i="18"/>
  <c r="I47" i="18"/>
  <c r="J47" i="18"/>
  <c r="K47" i="18"/>
  <c r="L47" i="18"/>
  <c r="B48" i="18"/>
  <c r="C48" i="18"/>
  <c r="D48" i="18"/>
  <c r="E48" i="18"/>
  <c r="F48" i="18"/>
  <c r="G48" i="18"/>
  <c r="H48" i="18"/>
  <c r="I48" i="18"/>
  <c r="J48" i="18"/>
  <c r="K48" i="18"/>
  <c r="L48" i="18"/>
  <c r="B49" i="18"/>
  <c r="C49" i="18"/>
  <c r="D49" i="18"/>
  <c r="E49" i="18"/>
  <c r="F49" i="18"/>
  <c r="G49" i="18"/>
  <c r="H49" i="18"/>
  <c r="I49" i="18"/>
  <c r="J49" i="18"/>
  <c r="K49" i="18"/>
  <c r="L49" i="18"/>
  <c r="B50" i="18"/>
  <c r="C50" i="18"/>
  <c r="D50" i="18"/>
  <c r="E50" i="18"/>
  <c r="F50" i="18"/>
  <c r="G50" i="18"/>
  <c r="H50" i="18"/>
  <c r="I50" i="18"/>
  <c r="J50" i="18"/>
  <c r="K50" i="18"/>
  <c r="L50" i="18"/>
  <c r="B51" i="18"/>
  <c r="C51" i="18"/>
  <c r="D51" i="18"/>
  <c r="E51" i="18"/>
  <c r="F51" i="18"/>
  <c r="G51" i="18"/>
  <c r="H51" i="18"/>
  <c r="I51" i="18"/>
  <c r="J51" i="18"/>
  <c r="K51" i="18"/>
  <c r="L51" i="18"/>
  <c r="B52" i="18"/>
  <c r="C52" i="18"/>
  <c r="D52" i="18"/>
  <c r="E52" i="18"/>
  <c r="F52" i="18"/>
  <c r="G52" i="18"/>
  <c r="H52" i="18"/>
  <c r="I52" i="18"/>
  <c r="J52" i="18"/>
  <c r="K52" i="18"/>
  <c r="L52" i="18"/>
  <c r="B53" i="18"/>
  <c r="C53" i="18"/>
  <c r="D53" i="18"/>
  <c r="E53" i="18"/>
  <c r="F53" i="18"/>
  <c r="G53" i="18"/>
  <c r="H53" i="18"/>
  <c r="I53" i="18"/>
  <c r="J53" i="18"/>
  <c r="K53" i="18"/>
  <c r="L53" i="18"/>
  <c r="B54" i="18"/>
  <c r="C54" i="18"/>
  <c r="D54" i="18"/>
  <c r="E54" i="18"/>
  <c r="F54" i="18"/>
  <c r="G54" i="18"/>
  <c r="H54" i="18"/>
  <c r="I54" i="18"/>
  <c r="J54" i="18"/>
  <c r="K54" i="18"/>
  <c r="L54" i="18"/>
  <c r="B55" i="18"/>
  <c r="C55" i="18"/>
  <c r="D55" i="18"/>
  <c r="E55" i="18"/>
  <c r="F55" i="18"/>
  <c r="G55" i="18"/>
  <c r="H55" i="18"/>
  <c r="I55" i="18"/>
  <c r="J55" i="18"/>
  <c r="K55" i="18"/>
  <c r="L55" i="18"/>
  <c r="B56" i="18"/>
  <c r="C56" i="18"/>
  <c r="D56" i="18"/>
  <c r="E56" i="18"/>
  <c r="F56" i="18"/>
  <c r="G56" i="18"/>
  <c r="H56" i="18"/>
  <c r="I56" i="18"/>
  <c r="J56" i="18"/>
  <c r="K56" i="18"/>
  <c r="L56" i="18"/>
  <c r="A57" i="18"/>
  <c r="B57" i="18"/>
  <c r="C57" i="18"/>
  <c r="D57" i="18"/>
  <c r="E57" i="18"/>
  <c r="F57" i="18"/>
  <c r="G57" i="18"/>
  <c r="H57" i="18"/>
  <c r="I57" i="18"/>
  <c r="J57" i="18"/>
  <c r="K57" i="18"/>
  <c r="L57" i="18"/>
  <c r="A58" i="18"/>
  <c r="B58" i="18"/>
  <c r="C58" i="18"/>
  <c r="D58" i="18"/>
  <c r="E58" i="18"/>
  <c r="F58" i="18"/>
  <c r="G58" i="18"/>
  <c r="H58" i="18"/>
  <c r="I58" i="18"/>
  <c r="J58" i="18"/>
  <c r="K58" i="18"/>
  <c r="L58" i="18"/>
  <c r="A59" i="18"/>
  <c r="B59" i="18"/>
  <c r="C59" i="18"/>
  <c r="D59" i="18"/>
  <c r="E59" i="18"/>
  <c r="F59" i="18"/>
  <c r="G59" i="18"/>
  <c r="H59" i="18"/>
  <c r="I59" i="18"/>
  <c r="J59" i="18"/>
  <c r="K59" i="18"/>
  <c r="L59" i="18"/>
  <c r="B60" i="18"/>
  <c r="C60" i="18"/>
  <c r="D60" i="18"/>
  <c r="E60" i="18"/>
  <c r="F60" i="18"/>
  <c r="G60" i="18"/>
  <c r="H60" i="18"/>
  <c r="I60" i="18"/>
  <c r="J60" i="18"/>
  <c r="K60" i="18"/>
  <c r="L60" i="18"/>
  <c r="B61" i="18"/>
  <c r="C61" i="18"/>
  <c r="D61" i="18"/>
  <c r="E61" i="18"/>
  <c r="F61" i="18"/>
  <c r="G61" i="18"/>
  <c r="H61" i="18"/>
  <c r="I61" i="18"/>
  <c r="J61" i="18"/>
  <c r="K61" i="18"/>
  <c r="L61" i="18"/>
  <c r="B62" i="18"/>
  <c r="C62" i="18"/>
  <c r="D62" i="18"/>
  <c r="E62" i="18"/>
  <c r="F62" i="18"/>
  <c r="G62" i="18"/>
  <c r="H62" i="18"/>
  <c r="I62" i="18"/>
  <c r="J62" i="18"/>
  <c r="K62" i="18"/>
  <c r="L62" i="18"/>
  <c r="B63" i="18"/>
  <c r="C63" i="18"/>
  <c r="D63" i="18"/>
  <c r="E63" i="18"/>
  <c r="F63" i="18"/>
  <c r="G63" i="18"/>
  <c r="H63" i="18"/>
  <c r="I63" i="18"/>
  <c r="J63" i="18"/>
  <c r="K63" i="18"/>
  <c r="L63" i="18"/>
  <c r="B64" i="18"/>
  <c r="C64" i="18"/>
  <c r="D64" i="18"/>
  <c r="E64" i="18"/>
  <c r="F64" i="18"/>
  <c r="G64" i="18"/>
  <c r="H64" i="18"/>
  <c r="I64" i="18"/>
  <c r="J64" i="18"/>
  <c r="K64" i="18"/>
  <c r="L64" i="18"/>
  <c r="B65" i="18"/>
  <c r="C65" i="18"/>
  <c r="D65" i="18"/>
  <c r="E65" i="18"/>
  <c r="F65" i="18"/>
  <c r="G65" i="18"/>
  <c r="H65" i="18"/>
  <c r="I65" i="18"/>
  <c r="J65" i="18"/>
  <c r="K65" i="18"/>
  <c r="L65" i="18"/>
  <c r="B66" i="18"/>
  <c r="C66" i="18"/>
  <c r="D66" i="18"/>
  <c r="E66" i="18"/>
  <c r="F66" i="18"/>
  <c r="G66" i="18"/>
  <c r="H66" i="18"/>
  <c r="I66" i="18"/>
  <c r="J66" i="18"/>
  <c r="K66" i="18"/>
  <c r="L66" i="18"/>
  <c r="B67" i="18"/>
  <c r="C67" i="18"/>
  <c r="D67" i="18"/>
  <c r="E67" i="18"/>
  <c r="F67" i="18"/>
  <c r="G67" i="18"/>
  <c r="H67" i="18"/>
  <c r="I67" i="18"/>
  <c r="J67" i="18"/>
  <c r="K67" i="18"/>
  <c r="L67" i="18"/>
  <c r="B68" i="18"/>
  <c r="C68" i="18"/>
  <c r="D68" i="18"/>
  <c r="E68" i="18"/>
  <c r="F68" i="18"/>
  <c r="G68" i="18"/>
  <c r="H68" i="18"/>
  <c r="I68" i="18"/>
  <c r="J68" i="18"/>
  <c r="K68" i="18"/>
  <c r="L68" i="18"/>
  <c r="B69" i="18"/>
  <c r="C69" i="18"/>
  <c r="D69" i="18"/>
  <c r="E69" i="18"/>
  <c r="F69" i="18"/>
  <c r="G69" i="18"/>
  <c r="H69" i="18"/>
  <c r="I69" i="18"/>
  <c r="J69" i="18"/>
  <c r="K69" i="18"/>
  <c r="L69" i="18"/>
  <c r="B70" i="18"/>
  <c r="C70" i="18"/>
  <c r="D70" i="18"/>
  <c r="E70" i="18"/>
  <c r="F70" i="18"/>
  <c r="G70" i="18"/>
  <c r="H70" i="18"/>
  <c r="I70" i="18"/>
  <c r="J70" i="18"/>
  <c r="K70" i="18"/>
  <c r="L70" i="18"/>
  <c r="B71" i="18"/>
  <c r="C71" i="18"/>
  <c r="D71" i="18"/>
  <c r="E71" i="18"/>
  <c r="F71" i="18"/>
  <c r="G71" i="18"/>
  <c r="H71" i="18"/>
  <c r="I71" i="18"/>
  <c r="J71" i="18"/>
  <c r="K71" i="18"/>
  <c r="L71" i="18"/>
  <c r="B72" i="18"/>
  <c r="C72" i="18"/>
  <c r="D72" i="18"/>
  <c r="E72" i="18"/>
  <c r="F72" i="18"/>
  <c r="G72" i="18"/>
  <c r="H72" i="18"/>
  <c r="I72" i="18"/>
  <c r="J72" i="18"/>
  <c r="K72" i="18"/>
  <c r="L72" i="18"/>
  <c r="B73" i="18"/>
  <c r="C73" i="18"/>
  <c r="D73" i="18"/>
  <c r="E73" i="18"/>
  <c r="F73" i="18"/>
  <c r="G73" i="18"/>
  <c r="H73" i="18"/>
  <c r="I73" i="18"/>
  <c r="J73" i="18"/>
  <c r="K73" i="18"/>
  <c r="L73" i="18"/>
  <c r="B74" i="18"/>
  <c r="C74" i="18"/>
  <c r="D74" i="18"/>
  <c r="E74" i="18"/>
  <c r="F74" i="18"/>
  <c r="G74" i="18"/>
  <c r="H74" i="18"/>
  <c r="I74" i="18"/>
  <c r="J74" i="18"/>
  <c r="K74" i="18"/>
  <c r="L74" i="18"/>
  <c r="B75" i="18"/>
  <c r="C75" i="18"/>
  <c r="D75" i="18"/>
  <c r="E75" i="18"/>
  <c r="F75" i="18"/>
  <c r="G75" i="18"/>
  <c r="H75" i="18"/>
  <c r="I75" i="18"/>
  <c r="J75" i="18"/>
  <c r="K75" i="18"/>
  <c r="L75" i="18"/>
  <c r="B76" i="18"/>
  <c r="C76" i="18"/>
  <c r="D76" i="18"/>
  <c r="E76" i="18"/>
  <c r="F76" i="18"/>
  <c r="G76" i="18"/>
  <c r="H76" i="18"/>
  <c r="I76" i="18"/>
  <c r="J76" i="18"/>
  <c r="K76" i="18"/>
  <c r="L76" i="18"/>
  <c r="B77" i="18"/>
  <c r="C77" i="18"/>
  <c r="D77" i="18"/>
  <c r="E77" i="18"/>
  <c r="F77" i="18"/>
  <c r="G77" i="18"/>
  <c r="H77" i="18"/>
  <c r="I77" i="18"/>
  <c r="J77" i="18"/>
  <c r="K77" i="18"/>
  <c r="L77" i="18"/>
  <c r="B78" i="18"/>
  <c r="C78" i="18"/>
  <c r="D78" i="18"/>
  <c r="E78" i="18"/>
  <c r="F78" i="18"/>
  <c r="G78" i="18"/>
  <c r="H78" i="18"/>
  <c r="I78" i="18"/>
  <c r="J78" i="18"/>
  <c r="K78" i="18"/>
  <c r="L78" i="18"/>
  <c r="B79" i="18"/>
  <c r="C79" i="18"/>
  <c r="D79" i="18"/>
  <c r="E79" i="18"/>
  <c r="F79" i="18"/>
  <c r="G79" i="18"/>
  <c r="H79" i="18"/>
  <c r="I79" i="18"/>
  <c r="J79" i="18"/>
  <c r="K79" i="18"/>
  <c r="L79" i="18"/>
  <c r="B80" i="18"/>
  <c r="C80" i="18"/>
  <c r="D80" i="18"/>
  <c r="E80" i="18"/>
  <c r="F80" i="18"/>
  <c r="G80" i="18"/>
  <c r="H80" i="18"/>
  <c r="I80" i="18"/>
  <c r="J80" i="18"/>
  <c r="K80" i="18"/>
  <c r="L80" i="18"/>
  <c r="B81" i="18"/>
  <c r="C81" i="18"/>
  <c r="D81" i="18"/>
  <c r="E81" i="18"/>
  <c r="F81" i="18"/>
  <c r="G81" i="18"/>
  <c r="H81" i="18"/>
  <c r="I81" i="18"/>
  <c r="J81" i="18"/>
  <c r="K81" i="18"/>
  <c r="L81" i="18"/>
  <c r="B82" i="18"/>
  <c r="C82" i="18"/>
  <c r="D82" i="18"/>
  <c r="E82" i="18"/>
  <c r="F82" i="18"/>
  <c r="G82" i="18"/>
  <c r="H82" i="18"/>
  <c r="I82" i="18"/>
  <c r="J82" i="18"/>
  <c r="K82" i="18"/>
  <c r="L82" i="18"/>
  <c r="A83" i="18"/>
  <c r="B83" i="18"/>
  <c r="C83" i="18"/>
  <c r="D83" i="18"/>
  <c r="E83" i="18"/>
  <c r="F83" i="18"/>
  <c r="G83" i="18"/>
  <c r="H83" i="18"/>
  <c r="I83" i="18"/>
  <c r="J83" i="18"/>
  <c r="K83" i="18"/>
  <c r="L83" i="18"/>
  <c r="A84" i="18"/>
  <c r="B84" i="18"/>
  <c r="C84" i="18"/>
  <c r="D84" i="18"/>
  <c r="E84" i="18"/>
  <c r="F84" i="18"/>
  <c r="G84" i="18"/>
  <c r="H84" i="18"/>
  <c r="I84" i="18"/>
  <c r="J84" i="18"/>
  <c r="K84" i="18"/>
  <c r="L84" i="18"/>
  <c r="A85" i="18"/>
  <c r="B85" i="18"/>
  <c r="C85" i="18"/>
  <c r="D85" i="18"/>
  <c r="E85" i="18"/>
  <c r="F85" i="18"/>
  <c r="G85" i="18"/>
  <c r="H85" i="18"/>
  <c r="I85" i="18"/>
  <c r="J85" i="18"/>
  <c r="K85" i="18"/>
  <c r="L85" i="18"/>
  <c r="B86" i="18"/>
  <c r="C86" i="18"/>
  <c r="D86" i="18"/>
  <c r="E86" i="18"/>
  <c r="F86" i="18"/>
  <c r="G86" i="18"/>
  <c r="H86" i="18"/>
  <c r="I86" i="18"/>
  <c r="J86" i="18"/>
  <c r="K86" i="18"/>
  <c r="L86" i="18"/>
  <c r="B87" i="18"/>
  <c r="C87" i="18"/>
  <c r="D87" i="18"/>
  <c r="E87" i="18"/>
  <c r="F87" i="18"/>
  <c r="G87" i="18"/>
  <c r="H87" i="18"/>
  <c r="I87" i="18"/>
  <c r="J87" i="18"/>
  <c r="K87" i="18"/>
  <c r="L87" i="18"/>
  <c r="B88" i="18"/>
  <c r="C88" i="18"/>
  <c r="D88" i="18"/>
  <c r="E88" i="18"/>
  <c r="F88" i="18"/>
  <c r="G88" i="18"/>
  <c r="H88" i="18"/>
  <c r="I88" i="18"/>
  <c r="J88" i="18"/>
  <c r="K88" i="18"/>
  <c r="L88" i="18"/>
  <c r="B89" i="18"/>
  <c r="C89" i="18"/>
  <c r="D89" i="18"/>
  <c r="E89" i="18"/>
  <c r="F89" i="18"/>
  <c r="G89" i="18"/>
  <c r="H89" i="18"/>
  <c r="I89" i="18"/>
  <c r="J89" i="18"/>
  <c r="K89" i="18"/>
  <c r="L89" i="18"/>
  <c r="B90" i="18"/>
  <c r="C90" i="18"/>
  <c r="D90" i="18"/>
  <c r="E90" i="18"/>
  <c r="F90" i="18"/>
  <c r="G90" i="18"/>
  <c r="H90" i="18"/>
  <c r="I90" i="18"/>
  <c r="J90" i="18"/>
  <c r="K90" i="18"/>
  <c r="L90" i="18"/>
  <c r="B91" i="18"/>
  <c r="C91" i="18"/>
  <c r="D91" i="18"/>
  <c r="E91" i="18"/>
  <c r="F91" i="18"/>
  <c r="G91" i="18"/>
  <c r="H91" i="18"/>
  <c r="I91" i="18"/>
  <c r="J91" i="18"/>
  <c r="K91" i="18"/>
  <c r="L91" i="18"/>
  <c r="B92" i="18"/>
  <c r="C92" i="18"/>
  <c r="D92" i="18"/>
  <c r="E92" i="18"/>
  <c r="F92" i="18"/>
  <c r="G92" i="18"/>
  <c r="H92" i="18"/>
  <c r="I92" i="18"/>
  <c r="J92" i="18"/>
  <c r="K92" i="18"/>
  <c r="L92" i="18"/>
  <c r="B93" i="18"/>
  <c r="C93" i="18"/>
  <c r="D93" i="18"/>
  <c r="E93" i="18"/>
  <c r="F93" i="18"/>
  <c r="G93" i="18"/>
  <c r="H93" i="18"/>
  <c r="I93" i="18"/>
  <c r="J93" i="18"/>
  <c r="K93" i="18"/>
  <c r="L93" i="18"/>
  <c r="B94" i="18"/>
  <c r="C94" i="18"/>
  <c r="D94" i="18"/>
  <c r="E94" i="18"/>
  <c r="F94" i="18"/>
  <c r="G94" i="18"/>
  <c r="H94" i="18"/>
  <c r="I94" i="18"/>
  <c r="J94" i="18"/>
  <c r="K94" i="18"/>
  <c r="L94" i="18"/>
  <c r="B95" i="18"/>
  <c r="C95" i="18"/>
  <c r="D95" i="18"/>
  <c r="E95" i="18"/>
  <c r="F95" i="18"/>
  <c r="G95" i="18"/>
  <c r="H95" i="18"/>
  <c r="I95" i="18"/>
  <c r="J95" i="18"/>
  <c r="K95" i="18"/>
  <c r="L95" i="18"/>
  <c r="B96" i="18"/>
  <c r="C96" i="18"/>
  <c r="D96" i="18"/>
  <c r="E96" i="18"/>
  <c r="F96" i="18"/>
  <c r="G96" i="18"/>
  <c r="H96" i="18"/>
  <c r="I96" i="18"/>
  <c r="J96" i="18"/>
  <c r="K96" i="18"/>
  <c r="L96" i="18"/>
  <c r="B97" i="18"/>
  <c r="C97" i="18"/>
  <c r="D97" i="18"/>
  <c r="E97" i="18"/>
  <c r="F97" i="18"/>
  <c r="G97" i="18"/>
  <c r="H97" i="18"/>
  <c r="I97" i="18"/>
  <c r="J97" i="18"/>
  <c r="K97" i="18"/>
  <c r="L97" i="18"/>
  <c r="B98" i="18"/>
  <c r="C98" i="18"/>
  <c r="D98" i="18"/>
  <c r="E98" i="18"/>
  <c r="F98" i="18"/>
  <c r="G98" i="18"/>
  <c r="H98" i="18"/>
  <c r="I98" i="18"/>
  <c r="J98" i="18"/>
  <c r="K98" i="18"/>
  <c r="L98" i="18"/>
  <c r="B99" i="18"/>
  <c r="C99" i="18"/>
  <c r="D99" i="18"/>
  <c r="E99" i="18"/>
  <c r="F99" i="18"/>
  <c r="G99" i="18"/>
  <c r="H99" i="18"/>
  <c r="I99" i="18"/>
  <c r="J99" i="18"/>
  <c r="K99" i="18"/>
  <c r="L99" i="18"/>
  <c r="B100" i="18"/>
  <c r="C100" i="18"/>
  <c r="D100" i="18"/>
  <c r="E100" i="18"/>
  <c r="F100" i="18"/>
  <c r="G100" i="18"/>
  <c r="H100" i="18"/>
  <c r="I100" i="18"/>
  <c r="J100" i="18"/>
  <c r="K100" i="18"/>
  <c r="L100" i="18"/>
  <c r="B101" i="18"/>
  <c r="C101" i="18"/>
  <c r="D101" i="18"/>
  <c r="E101" i="18"/>
  <c r="F101" i="18"/>
  <c r="G101" i="18"/>
  <c r="H101" i="18"/>
  <c r="I101" i="18"/>
  <c r="J101" i="18"/>
  <c r="K101" i="18"/>
  <c r="L101" i="18"/>
  <c r="B102" i="18"/>
  <c r="C102" i="18"/>
  <c r="D102" i="18"/>
  <c r="E102" i="18"/>
  <c r="F102" i="18"/>
  <c r="G102" i="18"/>
  <c r="H102" i="18"/>
  <c r="I102" i="18"/>
  <c r="J102" i="18"/>
  <c r="K102" i="18"/>
  <c r="L102" i="18"/>
  <c r="B103" i="18"/>
  <c r="C103" i="18"/>
  <c r="D103" i="18"/>
  <c r="E103" i="18"/>
  <c r="F103" i="18"/>
  <c r="G103" i="18"/>
  <c r="H103" i="18"/>
  <c r="I103" i="18"/>
  <c r="J103" i="18"/>
  <c r="K103" i="18"/>
  <c r="L103" i="18"/>
  <c r="B104" i="18"/>
  <c r="C104" i="18"/>
  <c r="D104" i="18"/>
  <c r="E104" i="18"/>
  <c r="F104" i="18"/>
  <c r="G104" i="18"/>
  <c r="H104" i="18"/>
  <c r="I104" i="18"/>
  <c r="J104" i="18"/>
  <c r="K104" i="18"/>
  <c r="L104" i="18"/>
  <c r="B105" i="18"/>
  <c r="C105" i="18"/>
  <c r="D105" i="18"/>
  <c r="E105" i="18"/>
  <c r="F105" i="18"/>
  <c r="G105" i="18"/>
  <c r="H105" i="18"/>
  <c r="I105" i="18"/>
  <c r="J105" i="18"/>
  <c r="K105" i="18"/>
  <c r="L105" i="18"/>
  <c r="B106" i="18"/>
  <c r="C106" i="18"/>
  <c r="D106" i="18"/>
  <c r="E106" i="18"/>
  <c r="F106" i="18"/>
  <c r="G106" i="18"/>
  <c r="H106" i="18"/>
  <c r="I106" i="18"/>
  <c r="J106" i="18"/>
  <c r="K106" i="18"/>
  <c r="L106" i="18"/>
  <c r="B107" i="18"/>
  <c r="C107" i="18"/>
  <c r="D107" i="18"/>
  <c r="E107" i="18"/>
  <c r="F107" i="18"/>
  <c r="G107" i="18"/>
  <c r="H107" i="18"/>
  <c r="I107" i="18"/>
  <c r="J107" i="18"/>
  <c r="K107" i="18"/>
  <c r="L107" i="18"/>
  <c r="B108" i="18"/>
  <c r="C108" i="18"/>
  <c r="D108" i="18"/>
  <c r="E108" i="18"/>
  <c r="F108" i="18"/>
  <c r="G108" i="18"/>
  <c r="H108" i="18"/>
  <c r="I108" i="18"/>
  <c r="J108" i="18"/>
  <c r="K108" i="18"/>
  <c r="L108" i="18"/>
  <c r="B109" i="18"/>
  <c r="C109" i="18"/>
  <c r="D109" i="18"/>
  <c r="E109" i="18"/>
  <c r="F109" i="18"/>
  <c r="G109" i="18"/>
  <c r="H109" i="18"/>
  <c r="I109" i="18"/>
  <c r="J109" i="18"/>
  <c r="K109" i="18"/>
  <c r="L109" i="18"/>
  <c r="A110" i="18"/>
  <c r="B110" i="18"/>
  <c r="C110" i="18"/>
  <c r="D110" i="18"/>
  <c r="E110" i="18"/>
  <c r="F110" i="18"/>
  <c r="G110" i="18"/>
  <c r="H110" i="18"/>
  <c r="I110" i="18"/>
  <c r="J110" i="18"/>
  <c r="K110" i="18"/>
  <c r="L110" i="18"/>
  <c r="A111" i="18"/>
  <c r="B111" i="18"/>
  <c r="C111" i="18"/>
  <c r="D111" i="18"/>
  <c r="E111" i="18"/>
  <c r="F111" i="18"/>
  <c r="G111" i="18"/>
  <c r="H111" i="18"/>
  <c r="I111" i="18"/>
  <c r="J111" i="18"/>
  <c r="K111" i="18"/>
  <c r="L111" i="18"/>
  <c r="A112" i="18"/>
  <c r="B112" i="18"/>
  <c r="C112" i="18"/>
  <c r="D112" i="18"/>
  <c r="E112" i="18"/>
  <c r="F112" i="18"/>
  <c r="G112" i="18"/>
  <c r="H112" i="18"/>
  <c r="I112" i="18"/>
  <c r="J112" i="18"/>
  <c r="K112" i="18"/>
  <c r="L112" i="18"/>
  <c r="B113" i="18"/>
  <c r="C113" i="18"/>
  <c r="D113" i="18"/>
  <c r="E113" i="18"/>
  <c r="F113" i="18"/>
  <c r="G113" i="18"/>
  <c r="H113" i="18"/>
  <c r="I113" i="18"/>
  <c r="J113" i="18"/>
  <c r="K113" i="18"/>
  <c r="L113" i="18"/>
  <c r="B114" i="18"/>
  <c r="C114" i="18"/>
  <c r="D114" i="18"/>
  <c r="E114" i="18"/>
  <c r="F114" i="18"/>
  <c r="G114" i="18"/>
  <c r="H114" i="18"/>
  <c r="I114" i="18"/>
  <c r="J114" i="18"/>
  <c r="K114" i="18"/>
  <c r="L114" i="18"/>
  <c r="B115" i="18"/>
  <c r="C115" i="18"/>
  <c r="D115" i="18"/>
  <c r="E115" i="18"/>
  <c r="F115" i="18"/>
  <c r="G115" i="18"/>
  <c r="H115" i="18"/>
  <c r="I115" i="18"/>
  <c r="J115" i="18"/>
  <c r="K115" i="18"/>
  <c r="L115" i="18"/>
  <c r="B116" i="18"/>
  <c r="C116" i="18"/>
  <c r="D116" i="18"/>
  <c r="E116" i="18"/>
  <c r="F116" i="18"/>
  <c r="G116" i="18"/>
  <c r="H116" i="18"/>
  <c r="I116" i="18"/>
  <c r="J116" i="18"/>
  <c r="K116" i="18"/>
  <c r="L116" i="18"/>
  <c r="B117" i="18"/>
  <c r="C117" i="18"/>
  <c r="D117" i="18"/>
  <c r="E117" i="18"/>
  <c r="F117" i="18"/>
  <c r="G117" i="18"/>
  <c r="H117" i="18"/>
  <c r="I117" i="18"/>
  <c r="J117" i="18"/>
  <c r="K117" i="18"/>
  <c r="L117" i="18"/>
  <c r="B118" i="18"/>
  <c r="C118" i="18"/>
  <c r="D118" i="18"/>
  <c r="E118" i="18"/>
  <c r="F118" i="18"/>
  <c r="G118" i="18"/>
  <c r="H118" i="18"/>
  <c r="I118" i="18"/>
  <c r="J118" i="18"/>
  <c r="K118" i="18"/>
  <c r="L118" i="18"/>
  <c r="B119" i="18"/>
  <c r="C119" i="18"/>
  <c r="D119" i="18"/>
  <c r="E119" i="18"/>
  <c r="F119" i="18"/>
  <c r="G119" i="18"/>
  <c r="H119" i="18"/>
  <c r="I119" i="18"/>
  <c r="J119" i="18"/>
  <c r="K119" i="18"/>
  <c r="L119" i="18"/>
  <c r="B120" i="18"/>
  <c r="C120" i="18"/>
  <c r="D120" i="18"/>
  <c r="E120" i="18"/>
  <c r="F120" i="18"/>
  <c r="G120" i="18"/>
  <c r="H120" i="18"/>
  <c r="I120" i="18"/>
  <c r="J120" i="18"/>
  <c r="K120" i="18"/>
  <c r="L120" i="18"/>
  <c r="B121" i="18"/>
  <c r="C121" i="18"/>
  <c r="D121" i="18"/>
  <c r="E121" i="18"/>
  <c r="F121" i="18"/>
  <c r="G121" i="18"/>
  <c r="H121" i="18"/>
  <c r="I121" i="18"/>
  <c r="J121" i="18"/>
  <c r="K121" i="18"/>
  <c r="L121" i="18"/>
  <c r="B122" i="18"/>
  <c r="C122" i="18"/>
  <c r="D122" i="18"/>
  <c r="E122" i="18"/>
  <c r="F122" i="18"/>
  <c r="G122" i="18"/>
  <c r="H122" i="18"/>
  <c r="I122" i="18"/>
  <c r="J122" i="18"/>
  <c r="K122" i="18"/>
  <c r="L122" i="18"/>
  <c r="B123" i="18"/>
  <c r="C123" i="18"/>
  <c r="D123" i="18"/>
  <c r="E123" i="18"/>
  <c r="F123" i="18"/>
  <c r="G123" i="18"/>
  <c r="H123" i="18"/>
  <c r="I123" i="18"/>
  <c r="J123" i="18"/>
  <c r="K123" i="18"/>
  <c r="L123" i="18"/>
  <c r="B124" i="18"/>
  <c r="C124" i="18"/>
  <c r="D124" i="18"/>
  <c r="E124" i="18"/>
  <c r="F124" i="18"/>
  <c r="G124" i="18"/>
  <c r="H124" i="18"/>
  <c r="I124" i="18"/>
  <c r="J124" i="18"/>
  <c r="K124" i="18"/>
  <c r="L124" i="18"/>
  <c r="B125" i="18"/>
  <c r="C125" i="18"/>
  <c r="D125" i="18"/>
  <c r="E125" i="18"/>
  <c r="F125" i="18"/>
  <c r="G125" i="18"/>
  <c r="H125" i="18"/>
  <c r="I125" i="18"/>
  <c r="J125" i="18"/>
  <c r="K125" i="18"/>
  <c r="L125" i="18"/>
  <c r="B126" i="18"/>
  <c r="C126" i="18"/>
  <c r="D126" i="18"/>
  <c r="E126" i="18"/>
  <c r="F126" i="18"/>
  <c r="G126" i="18"/>
  <c r="H126" i="18"/>
  <c r="I126" i="18"/>
  <c r="J126" i="18"/>
  <c r="K126" i="18"/>
  <c r="L126" i="18"/>
  <c r="B127" i="18"/>
  <c r="C127" i="18"/>
  <c r="D127" i="18"/>
  <c r="E127" i="18"/>
  <c r="F127" i="18"/>
  <c r="G127" i="18"/>
  <c r="H127" i="18"/>
  <c r="I127" i="18"/>
  <c r="J127" i="18"/>
  <c r="K127" i="18"/>
  <c r="L127" i="18"/>
  <c r="A128" i="18"/>
  <c r="B128" i="18"/>
  <c r="C128" i="18"/>
  <c r="D128" i="18"/>
  <c r="E128" i="18"/>
  <c r="F128" i="18"/>
  <c r="G128" i="18"/>
  <c r="H128" i="18"/>
  <c r="I128" i="18"/>
  <c r="J128" i="18"/>
  <c r="K128" i="18"/>
  <c r="L128" i="18"/>
  <c r="J70" i="12"/>
  <c r="F64" i="12"/>
  <c r="F65" i="12"/>
  <c r="F66" i="12"/>
  <c r="B102" i="16"/>
  <c r="D102" i="16"/>
  <c r="U102" i="16"/>
  <c r="B101" i="16"/>
  <c r="D101" i="16"/>
  <c r="U101" i="16"/>
  <c r="B110" i="16"/>
  <c r="D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U110" i="16"/>
  <c r="B91" i="16"/>
  <c r="D91" i="16"/>
  <c r="B68" i="16"/>
  <c r="B69" i="16"/>
  <c r="D68" i="16"/>
  <c r="D69" i="16"/>
  <c r="I103" i="16"/>
  <c r="D27" i="16"/>
  <c r="I24" i="16"/>
  <c r="B121" i="16"/>
  <c r="D121" i="16"/>
  <c r="B122" i="16"/>
  <c r="D122" i="16"/>
  <c r="I120" i="16"/>
  <c r="B13" i="16"/>
  <c r="D13" i="16"/>
  <c r="H13" i="16"/>
  <c r="I13" i="16"/>
  <c r="J13" i="16"/>
  <c r="K13" i="16"/>
  <c r="L13" i="16"/>
  <c r="M13" i="16"/>
  <c r="N13" i="16"/>
  <c r="O13" i="16"/>
  <c r="Q13" i="16"/>
  <c r="R13" i="16"/>
  <c r="S13" i="16"/>
  <c r="D90" i="16"/>
  <c r="U90" i="16"/>
  <c r="B82" i="16"/>
  <c r="D82" i="16"/>
  <c r="U82" i="16"/>
  <c r="B39" i="16"/>
  <c r="D39" i="16"/>
  <c r="U39" i="16"/>
  <c r="B26" i="16"/>
  <c r="D26" i="16"/>
  <c r="I45" i="16"/>
  <c r="I46" i="16"/>
  <c r="B114" i="16"/>
  <c r="D114" i="16"/>
  <c r="U114" i="16"/>
  <c r="I65" i="16"/>
  <c r="J65" i="16"/>
  <c r="K65" i="16"/>
  <c r="L65" i="16"/>
  <c r="M65" i="16"/>
  <c r="N65" i="16"/>
  <c r="O65" i="16"/>
  <c r="P65" i="16"/>
  <c r="Q65" i="16"/>
  <c r="R65" i="16"/>
  <c r="S65" i="16"/>
  <c r="I75" i="16"/>
  <c r="J75" i="16"/>
  <c r="K75" i="16"/>
  <c r="L75" i="16"/>
  <c r="M75" i="16"/>
  <c r="N75" i="16"/>
  <c r="O75" i="16"/>
  <c r="P75" i="16"/>
  <c r="Q75" i="16"/>
  <c r="R75" i="16"/>
  <c r="S75" i="16"/>
  <c r="D127" i="16"/>
  <c r="B17" i="16"/>
  <c r="D17" i="16"/>
  <c r="U17" i="16"/>
  <c r="B95" i="16"/>
  <c r="D95" i="16"/>
  <c r="U95" i="16"/>
  <c r="J22" i="12"/>
  <c r="J23" i="12"/>
  <c r="D10" i="16"/>
  <c r="D11" i="16"/>
  <c r="D12" i="16"/>
  <c r="U12" i="16"/>
  <c r="U10" i="16"/>
  <c r="B10" i="16"/>
  <c r="B11" i="16"/>
  <c r="B12" i="16"/>
  <c r="R14" i="16"/>
  <c r="R32" i="16"/>
  <c r="R40" i="16"/>
  <c r="R46" i="16"/>
  <c r="R57" i="16"/>
  <c r="R83" i="16"/>
  <c r="R109" i="16"/>
  <c r="R115" i="16"/>
  <c r="Q14" i="16"/>
  <c r="Q32" i="16"/>
  <c r="Q40" i="16"/>
  <c r="Q46" i="16"/>
  <c r="Q57" i="16"/>
  <c r="Q83" i="16"/>
  <c r="Q109" i="16"/>
  <c r="Q115" i="16"/>
  <c r="O32" i="5"/>
  <c r="P32" i="5"/>
  <c r="O33" i="5"/>
  <c r="R33" i="5" s="1"/>
  <c r="P33" i="5"/>
  <c r="E110" i="16" l="1"/>
  <c r="E13" i="16"/>
  <c r="R32" i="5"/>
  <c r="B85" i="16"/>
  <c r="B86" i="16"/>
  <c r="B87" i="16"/>
  <c r="B88" i="16"/>
  <c r="B89" i="16"/>
  <c r="B90" i="16"/>
  <c r="B92" i="16"/>
  <c r="B93" i="16"/>
  <c r="B94" i="16"/>
  <c r="B96" i="16"/>
  <c r="B97" i="16"/>
  <c r="B98" i="16"/>
  <c r="B99" i="16"/>
  <c r="B100" i="16"/>
  <c r="B103" i="16"/>
  <c r="B104" i="16"/>
  <c r="B105" i="16"/>
  <c r="B106" i="16"/>
  <c r="B107" i="16"/>
  <c r="B108" i="16"/>
  <c r="B84" i="16"/>
  <c r="B59" i="16"/>
  <c r="B60" i="16"/>
  <c r="B61" i="16"/>
  <c r="B62" i="16"/>
  <c r="B63" i="16"/>
  <c r="B64" i="16"/>
  <c r="B65" i="16"/>
  <c r="B66" i="16"/>
  <c r="B67" i="16"/>
  <c r="B71" i="16"/>
  <c r="B72" i="16"/>
  <c r="B73" i="16"/>
  <c r="B74" i="16"/>
  <c r="B75" i="16"/>
  <c r="B76" i="16"/>
  <c r="B77" i="16"/>
  <c r="B78" i="16"/>
  <c r="B79" i="16"/>
  <c r="B80" i="16"/>
  <c r="B81" i="16"/>
  <c r="B83" i="16"/>
  <c r="B58" i="16"/>
  <c r="B34" i="16"/>
  <c r="B35" i="16"/>
  <c r="B36" i="16"/>
  <c r="B37" i="16"/>
  <c r="B38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33" i="16"/>
  <c r="B8" i="16"/>
  <c r="B9" i="16"/>
  <c r="B14" i="16"/>
  <c r="B15" i="16"/>
  <c r="B16" i="16"/>
  <c r="B18" i="16"/>
  <c r="B20" i="16"/>
  <c r="B21" i="16"/>
  <c r="B22" i="16"/>
  <c r="B23" i="16"/>
  <c r="B24" i="16"/>
  <c r="B25" i="16"/>
  <c r="B27" i="16"/>
  <c r="B28" i="16"/>
  <c r="B29" i="16"/>
  <c r="B30" i="16"/>
  <c r="B31" i="16"/>
  <c r="B7" i="16"/>
  <c r="A8" i="18" s="1"/>
  <c r="B111" i="16"/>
  <c r="B112" i="16"/>
  <c r="B113" i="16"/>
  <c r="B115" i="16"/>
  <c r="B116" i="16"/>
  <c r="B117" i="16"/>
  <c r="B118" i="16"/>
  <c r="B119" i="16"/>
  <c r="B123" i="16"/>
  <c r="B124" i="16"/>
  <c r="B125" i="16"/>
  <c r="B126" i="16"/>
  <c r="B127" i="16"/>
  <c r="D48" i="16"/>
  <c r="U111" i="16"/>
  <c r="U112" i="16"/>
  <c r="U113" i="16"/>
  <c r="U115" i="16"/>
  <c r="U116" i="16"/>
  <c r="U6" i="16"/>
  <c r="U7" i="16"/>
  <c r="U8" i="16"/>
  <c r="U9" i="16"/>
  <c r="U11" i="16"/>
  <c r="D44" i="16"/>
  <c r="U117" i="16"/>
  <c r="U118" i="16"/>
  <c r="U119" i="16"/>
  <c r="U122" i="16"/>
  <c r="U123" i="16"/>
  <c r="U124" i="16"/>
  <c r="D24" i="16"/>
  <c r="D23" i="16"/>
  <c r="D119" i="16"/>
  <c r="D118" i="16"/>
  <c r="D113" i="16"/>
  <c r="V110" i="16" l="1"/>
  <c r="U15" i="16"/>
  <c r="U16" i="16"/>
  <c r="U18" i="16"/>
  <c r="U20" i="16"/>
  <c r="U71" i="16"/>
  <c r="U72" i="16"/>
  <c r="U73" i="16"/>
  <c r="U74" i="16"/>
  <c r="U75" i="16"/>
  <c r="U76" i="16"/>
  <c r="U77" i="16"/>
  <c r="D108" i="16"/>
  <c r="D56" i="16"/>
  <c r="J84" i="12"/>
  <c r="D89" i="16"/>
  <c r="D36" i="16"/>
  <c r="I40" i="16"/>
  <c r="D33" i="16"/>
  <c r="D31" i="16"/>
  <c r="A2" i="18"/>
  <c r="L8" i="18"/>
  <c r="B8" i="18"/>
  <c r="M48" i="17"/>
  <c r="R35" i="17"/>
  <c r="R36" i="17"/>
  <c r="R37" i="17"/>
  <c r="R38" i="17"/>
  <c r="R40" i="17"/>
  <c r="P40" i="17" s="1"/>
  <c r="R43" i="17"/>
  <c r="R44" i="17"/>
  <c r="R45" i="17"/>
  <c r="R48" i="17"/>
  <c r="R49" i="17"/>
  <c r="R50" i="17"/>
  <c r="R51" i="17"/>
  <c r="P51" i="17" s="1"/>
  <c r="R52" i="17"/>
  <c r="P52" i="17" s="1"/>
  <c r="R54" i="17"/>
  <c r="P54" i="17" s="1"/>
  <c r="R55" i="17"/>
  <c r="R56" i="17"/>
  <c r="R57" i="17"/>
  <c r="R58" i="17"/>
  <c r="P58" i="17" s="1"/>
  <c r="R59" i="17"/>
  <c r="P59" i="17" s="1"/>
  <c r="R60" i="17"/>
  <c r="P60" i="17" s="1"/>
  <c r="R61" i="17"/>
  <c r="Z60" i="17"/>
  <c r="X60" i="17"/>
  <c r="W60" i="17"/>
  <c r="V60" i="17"/>
  <c r="T60" i="17"/>
  <c r="S60" i="17"/>
  <c r="Z59" i="17"/>
  <c r="X59" i="17"/>
  <c r="W59" i="17"/>
  <c r="V59" i="17"/>
  <c r="T59" i="17"/>
  <c r="S59" i="17"/>
  <c r="Z58" i="17"/>
  <c r="X58" i="17"/>
  <c r="W58" i="17"/>
  <c r="V58" i="17"/>
  <c r="T58" i="17"/>
  <c r="S58" i="17"/>
  <c r="Z57" i="17"/>
  <c r="X57" i="17"/>
  <c r="W57" i="17"/>
  <c r="V57" i="17"/>
  <c r="T57" i="17"/>
  <c r="S57" i="17"/>
  <c r="Z54" i="17"/>
  <c r="X54" i="17"/>
  <c r="W54" i="17"/>
  <c r="V54" i="17"/>
  <c r="T54" i="17"/>
  <c r="S54" i="17"/>
  <c r="Z53" i="17"/>
  <c r="X53" i="17"/>
  <c r="W53" i="17"/>
  <c r="V53" i="17"/>
  <c r="T53" i="17"/>
  <c r="S53" i="17"/>
  <c r="Z52" i="17"/>
  <c r="X52" i="17"/>
  <c r="W52" i="17"/>
  <c r="V52" i="17"/>
  <c r="T52" i="17"/>
  <c r="S52" i="17"/>
  <c r="Z51" i="17"/>
  <c r="X51" i="17"/>
  <c r="W51" i="17"/>
  <c r="V51" i="17"/>
  <c r="T51" i="17"/>
  <c r="S51" i="17"/>
  <c r="Z48" i="17"/>
  <c r="X48" i="17"/>
  <c r="W48" i="17"/>
  <c r="V48" i="17"/>
  <c r="T48" i="17"/>
  <c r="S48" i="17"/>
  <c r="Z47" i="17"/>
  <c r="X47" i="17"/>
  <c r="W47" i="17"/>
  <c r="V47" i="17"/>
  <c r="T47" i="17"/>
  <c r="S47" i="17"/>
  <c r="Z46" i="17"/>
  <c r="X46" i="17"/>
  <c r="W46" i="17"/>
  <c r="V46" i="17"/>
  <c r="T46" i="17"/>
  <c r="S46" i="17"/>
  <c r="Z45" i="17"/>
  <c r="X45" i="17"/>
  <c r="W45" i="17"/>
  <c r="V45" i="17"/>
  <c r="T45" i="17"/>
  <c r="S45" i="17"/>
  <c r="Z42" i="17"/>
  <c r="X42" i="17"/>
  <c r="W42" i="17"/>
  <c r="V42" i="17"/>
  <c r="T42" i="17"/>
  <c r="S42" i="17"/>
  <c r="Z41" i="17"/>
  <c r="X41" i="17"/>
  <c r="W41" i="17"/>
  <c r="V41" i="17"/>
  <c r="T41" i="17"/>
  <c r="S41" i="17"/>
  <c r="Z40" i="17"/>
  <c r="X40" i="17"/>
  <c r="W40" i="17"/>
  <c r="V40" i="17"/>
  <c r="T40" i="17"/>
  <c r="S40" i="17"/>
  <c r="Z39" i="17"/>
  <c r="X39" i="17"/>
  <c r="W39" i="17"/>
  <c r="V39" i="17"/>
  <c r="T39" i="17"/>
  <c r="S39" i="17"/>
  <c r="S34" i="17"/>
  <c r="S35" i="17"/>
  <c r="S36" i="17"/>
  <c r="AJ34" i="17"/>
  <c r="AH34" i="17" s="1"/>
  <c r="AJ35" i="17"/>
  <c r="AH35" i="17" s="1"/>
  <c r="AJ36" i="17"/>
  <c r="AH36" i="17" s="1"/>
  <c r="AJ37" i="17"/>
  <c r="AJ38" i="17"/>
  <c r="AJ39" i="17"/>
  <c r="AH39" i="17" s="1"/>
  <c r="AJ40" i="17"/>
  <c r="AH40" i="17" s="1"/>
  <c r="AJ41" i="17"/>
  <c r="AH41" i="17" s="1"/>
  <c r="AJ42" i="17"/>
  <c r="AJ43" i="17"/>
  <c r="AJ44" i="17"/>
  <c r="AJ45" i="17"/>
  <c r="AH45" i="17" s="1"/>
  <c r="AJ46" i="17"/>
  <c r="AH46" i="17" s="1"/>
  <c r="AJ47" i="17"/>
  <c r="AH47" i="17" s="1"/>
  <c r="AJ48" i="17"/>
  <c r="AH48" i="17" s="1"/>
  <c r="AJ49" i="17"/>
  <c r="AJ50" i="17"/>
  <c r="AJ51" i="17"/>
  <c r="AH51" i="17" s="1"/>
  <c r="AJ52" i="17"/>
  <c r="AH52" i="17" s="1"/>
  <c r="AJ53" i="17"/>
  <c r="AH53" i="17" s="1"/>
  <c r="AJ54" i="17"/>
  <c r="AH54" i="17" s="1"/>
  <c r="AJ55" i="17"/>
  <c r="AJ56" i="17"/>
  <c r="AJ57" i="17"/>
  <c r="AH57" i="17" s="1"/>
  <c r="AJ58" i="17"/>
  <c r="AH58" i="17" s="1"/>
  <c r="AJ59" i="17"/>
  <c r="AH59" i="17" s="1"/>
  <c r="AJ60" i="17"/>
  <c r="AH60" i="17" s="1"/>
  <c r="AJ61" i="17"/>
  <c r="AJ33" i="17"/>
  <c r="AH33" i="17" s="1"/>
  <c r="AA37" i="17"/>
  <c r="AA38" i="17"/>
  <c r="AA39" i="17"/>
  <c r="Y39" i="17" s="1"/>
  <c r="AA40" i="17"/>
  <c r="Y40" i="17" s="1"/>
  <c r="AA41" i="17"/>
  <c r="Y41" i="17" s="1"/>
  <c r="AA42" i="17"/>
  <c r="Y42" i="17" s="1"/>
  <c r="AA43" i="17"/>
  <c r="AA44" i="17"/>
  <c r="AA45" i="17"/>
  <c r="Y45" i="17" s="1"/>
  <c r="AA46" i="17"/>
  <c r="Y46" i="17" s="1"/>
  <c r="AA47" i="17"/>
  <c r="Y47" i="17" s="1"/>
  <c r="AA48" i="17"/>
  <c r="Y48" i="17" s="1"/>
  <c r="AA49" i="17"/>
  <c r="AA50" i="17"/>
  <c r="AA51" i="17"/>
  <c r="Y51" i="17" s="1"/>
  <c r="AA52" i="17"/>
  <c r="Y52" i="17" s="1"/>
  <c r="AA53" i="17"/>
  <c r="Y53" i="17" s="1"/>
  <c r="AA54" i="17"/>
  <c r="Y54" i="17" s="1"/>
  <c r="AA55" i="17"/>
  <c r="AA56" i="17"/>
  <c r="AA57" i="17"/>
  <c r="Y57" i="17" s="1"/>
  <c r="AA58" i="17"/>
  <c r="Y58" i="17" s="1"/>
  <c r="AA59" i="17"/>
  <c r="Y59" i="17" s="1"/>
  <c r="AA60" i="17"/>
  <c r="Y60" i="17" s="1"/>
  <c r="AA61" i="17"/>
  <c r="AA33" i="17"/>
  <c r="Y33" i="17" s="1"/>
  <c r="AI60" i="17"/>
  <c r="AG60" i="17"/>
  <c r="AF60" i="17"/>
  <c r="AE60" i="17"/>
  <c r="AC60" i="17"/>
  <c r="AB60" i="17"/>
  <c r="AI59" i="17"/>
  <c r="AG59" i="17"/>
  <c r="AF59" i="17"/>
  <c r="AE59" i="17"/>
  <c r="AC59" i="17"/>
  <c r="AB59" i="17"/>
  <c r="AI58" i="17"/>
  <c r="AG58" i="17"/>
  <c r="AF58" i="17"/>
  <c r="AE58" i="17"/>
  <c r="AC58" i="17"/>
  <c r="AB58" i="17"/>
  <c r="AI57" i="17"/>
  <c r="AG57" i="17"/>
  <c r="AF57" i="17"/>
  <c r="AE57" i="17"/>
  <c r="AC57" i="17"/>
  <c r="AB57" i="17"/>
  <c r="AI54" i="17"/>
  <c r="AG54" i="17"/>
  <c r="AF54" i="17"/>
  <c r="AE54" i="17"/>
  <c r="AC54" i="17"/>
  <c r="AB54" i="17"/>
  <c r="AI53" i="17"/>
  <c r="AG53" i="17"/>
  <c r="AF53" i="17"/>
  <c r="AE53" i="17"/>
  <c r="AC53" i="17"/>
  <c r="AB53" i="17"/>
  <c r="AI52" i="17"/>
  <c r="AG52" i="17"/>
  <c r="AF52" i="17"/>
  <c r="AE52" i="17"/>
  <c r="AC52" i="17"/>
  <c r="AB52" i="17"/>
  <c r="AI51" i="17"/>
  <c r="AG51" i="17"/>
  <c r="AF51" i="17"/>
  <c r="AE51" i="17"/>
  <c r="AC51" i="17"/>
  <c r="AB51" i="17"/>
  <c r="AI48" i="17"/>
  <c r="AG48" i="17"/>
  <c r="AF48" i="17"/>
  <c r="AE48" i="17"/>
  <c r="AC48" i="17"/>
  <c r="AB48" i="17"/>
  <c r="AI47" i="17"/>
  <c r="AG47" i="17"/>
  <c r="AF47" i="17"/>
  <c r="AE47" i="17"/>
  <c r="AC47" i="17"/>
  <c r="AB47" i="17"/>
  <c r="AI46" i="17"/>
  <c r="AG46" i="17"/>
  <c r="AF46" i="17"/>
  <c r="AE46" i="17"/>
  <c r="AC46" i="17"/>
  <c r="AB46" i="17"/>
  <c r="AI45" i="17"/>
  <c r="AG45" i="17"/>
  <c r="AF45" i="17"/>
  <c r="AE45" i="17"/>
  <c r="AC45" i="17"/>
  <c r="AB45" i="17"/>
  <c r="AI42" i="17"/>
  <c r="AH42" i="17"/>
  <c r="AG42" i="17"/>
  <c r="AF42" i="17"/>
  <c r="AE42" i="17"/>
  <c r="AC42" i="17"/>
  <c r="AB42" i="17"/>
  <c r="AI41" i="17"/>
  <c r="AG41" i="17"/>
  <c r="AF41" i="17"/>
  <c r="AE41" i="17"/>
  <c r="AC41" i="17"/>
  <c r="AB41" i="17"/>
  <c r="AI40" i="17"/>
  <c r="AG40" i="17"/>
  <c r="AF40" i="17"/>
  <c r="AE40" i="17"/>
  <c r="AC40" i="17"/>
  <c r="AB40" i="17"/>
  <c r="AI39" i="17"/>
  <c r="AG39" i="17"/>
  <c r="AF39" i="17"/>
  <c r="AE39" i="17"/>
  <c r="AC39" i="17"/>
  <c r="AB39" i="17"/>
  <c r="AI34" i="17"/>
  <c r="AI35" i="17"/>
  <c r="AI36" i="17"/>
  <c r="AI33" i="17"/>
  <c r="AB34" i="17"/>
  <c r="AC34" i="17"/>
  <c r="AE34" i="17"/>
  <c r="AF34" i="17"/>
  <c r="AG34" i="17"/>
  <c r="AB35" i="17"/>
  <c r="AC35" i="17"/>
  <c r="AE35" i="17"/>
  <c r="AF35" i="17"/>
  <c r="AG35" i="17"/>
  <c r="AB36" i="17"/>
  <c r="AC36" i="17"/>
  <c r="AE36" i="17"/>
  <c r="AF36" i="17"/>
  <c r="AG36" i="17"/>
  <c r="AG33" i="17"/>
  <c r="AF33" i="17"/>
  <c r="AE33" i="17"/>
  <c r="AC33" i="17"/>
  <c r="AB33" i="17"/>
  <c r="Z33" i="17"/>
  <c r="X33" i="17"/>
  <c r="W33" i="17"/>
  <c r="V33" i="17"/>
  <c r="S33" i="17"/>
  <c r="T33" i="17"/>
  <c r="Q60" i="17"/>
  <c r="O60" i="17"/>
  <c r="N60" i="17"/>
  <c r="M60" i="17"/>
  <c r="K60" i="17"/>
  <c r="J60" i="17"/>
  <c r="Q59" i="17"/>
  <c r="O59" i="17"/>
  <c r="N59" i="17"/>
  <c r="M59" i="17"/>
  <c r="K59" i="17"/>
  <c r="J59" i="17"/>
  <c r="Q58" i="17"/>
  <c r="O58" i="17"/>
  <c r="N58" i="17"/>
  <c r="M58" i="17"/>
  <c r="K58" i="17"/>
  <c r="J58" i="17"/>
  <c r="Q57" i="17"/>
  <c r="O57" i="17"/>
  <c r="N57" i="17"/>
  <c r="M57" i="17"/>
  <c r="K57" i="17"/>
  <c r="J57" i="17"/>
  <c r="Q54" i="17"/>
  <c r="O54" i="17"/>
  <c r="N54" i="17"/>
  <c r="M54" i="17"/>
  <c r="K54" i="17"/>
  <c r="J54" i="17"/>
  <c r="Q52" i="17"/>
  <c r="O52" i="17"/>
  <c r="N52" i="17"/>
  <c r="M52" i="17"/>
  <c r="K52" i="17"/>
  <c r="J52" i="17"/>
  <c r="Q51" i="17"/>
  <c r="O51" i="17"/>
  <c r="N51" i="17"/>
  <c r="M51" i="17"/>
  <c r="K51" i="17"/>
  <c r="J51" i="17"/>
  <c r="Q48" i="17"/>
  <c r="O48" i="17"/>
  <c r="N48" i="17"/>
  <c r="K48" i="17"/>
  <c r="J48" i="17"/>
  <c r="Q45" i="17"/>
  <c r="O45" i="17"/>
  <c r="N45" i="17"/>
  <c r="M45" i="17"/>
  <c r="K45" i="17"/>
  <c r="J45" i="17"/>
  <c r="Q40" i="17"/>
  <c r="O40" i="17"/>
  <c r="N40" i="17"/>
  <c r="M40" i="17"/>
  <c r="K40" i="17"/>
  <c r="J40" i="17"/>
  <c r="J35" i="17"/>
  <c r="J36" i="17"/>
  <c r="E33" i="17"/>
  <c r="B33" i="17"/>
  <c r="U59" i="16"/>
  <c r="U60" i="16"/>
  <c r="U61" i="16"/>
  <c r="U62" i="16"/>
  <c r="U63" i="16"/>
  <c r="D62" i="16"/>
  <c r="D60" i="17"/>
  <c r="D59" i="17"/>
  <c r="D58" i="17"/>
  <c r="D54" i="17"/>
  <c r="D53" i="17"/>
  <c r="D52" i="17"/>
  <c r="D51" i="17"/>
  <c r="D42" i="17"/>
  <c r="D41" i="17"/>
  <c r="D40" i="17"/>
  <c r="D39" i="17"/>
  <c r="D29" i="17"/>
  <c r="D19" i="17"/>
  <c r="D10" i="17"/>
  <c r="H58" i="17"/>
  <c r="H59" i="17"/>
  <c r="H60" i="17"/>
  <c r="E58" i="17"/>
  <c r="E59" i="17"/>
  <c r="E60" i="17"/>
  <c r="I60" i="17"/>
  <c r="G60" i="17" s="1"/>
  <c r="I59" i="17"/>
  <c r="G59" i="17" s="1"/>
  <c r="I58" i="17"/>
  <c r="G58" i="17" s="1"/>
  <c r="I51" i="17"/>
  <c r="G51" i="17" s="1"/>
  <c r="I42" i="17"/>
  <c r="G42" i="17" s="1"/>
  <c r="I41" i="17"/>
  <c r="G41" i="17" s="1"/>
  <c r="H41" i="17"/>
  <c r="A58" i="17"/>
  <c r="B58" i="17"/>
  <c r="A59" i="17"/>
  <c r="B59" i="17"/>
  <c r="A60" i="17"/>
  <c r="B60" i="17"/>
  <c r="A51" i="17"/>
  <c r="B51" i="17"/>
  <c r="E51" i="17"/>
  <c r="F51" i="17"/>
  <c r="H51" i="17"/>
  <c r="F59" i="17"/>
  <c r="F60" i="17"/>
  <c r="D63" i="16"/>
  <c r="F58" i="17"/>
  <c r="F41" i="17"/>
  <c r="E41" i="17"/>
  <c r="B41" i="17"/>
  <c r="A41" i="17"/>
  <c r="I17" i="2"/>
  <c r="D99" i="12" s="1"/>
  <c r="J17" i="2"/>
  <c r="E97" i="12" s="1"/>
  <c r="J21" i="2"/>
  <c r="V14" i="16"/>
  <c r="V32" i="16"/>
  <c r="V57" i="16"/>
  <c r="V83" i="16"/>
  <c r="U14" i="16"/>
  <c r="U21" i="16"/>
  <c r="J34" i="17" s="1"/>
  <c r="U22" i="16"/>
  <c r="U25" i="16"/>
  <c r="U27" i="16"/>
  <c r="U28" i="16"/>
  <c r="U29" i="16"/>
  <c r="U30" i="16"/>
  <c r="U31" i="16"/>
  <c r="U32" i="16"/>
  <c r="A39" i="17"/>
  <c r="U34" i="16"/>
  <c r="U35" i="16"/>
  <c r="U37" i="16"/>
  <c r="U38" i="16"/>
  <c r="U40" i="16"/>
  <c r="U41" i="16"/>
  <c r="U42" i="16"/>
  <c r="U43" i="16"/>
  <c r="U45" i="16"/>
  <c r="A40" i="17" s="1"/>
  <c r="U47" i="16"/>
  <c r="U49" i="16"/>
  <c r="A53" i="17" s="1"/>
  <c r="U50" i="16"/>
  <c r="U51" i="16"/>
  <c r="U52" i="16"/>
  <c r="U53" i="16"/>
  <c r="U54" i="16"/>
  <c r="U55" i="16"/>
  <c r="U57" i="16"/>
  <c r="U58" i="16"/>
  <c r="U64" i="16"/>
  <c r="U65" i="16"/>
  <c r="U66" i="16"/>
  <c r="U67" i="16"/>
  <c r="J47" i="17"/>
  <c r="U78" i="16"/>
  <c r="U79" i="16"/>
  <c r="U80" i="16"/>
  <c r="U81" i="16"/>
  <c r="U83" i="16"/>
  <c r="U84" i="16"/>
  <c r="U85" i="16"/>
  <c r="U86" i="16"/>
  <c r="U87" i="16"/>
  <c r="U88" i="16"/>
  <c r="U89" i="16"/>
  <c r="U92" i="16"/>
  <c r="U93" i="16"/>
  <c r="U94" i="16"/>
  <c r="A52" i="17"/>
  <c r="U96" i="16"/>
  <c r="U97" i="16"/>
  <c r="U98" i="16"/>
  <c r="U99" i="16"/>
  <c r="U100" i="16"/>
  <c r="U103" i="16"/>
  <c r="A54" i="17" s="1"/>
  <c r="U104" i="16"/>
  <c r="U105" i="16"/>
  <c r="U106" i="16"/>
  <c r="U107" i="16"/>
  <c r="U108" i="16"/>
  <c r="U109" i="16"/>
  <c r="U125" i="16"/>
  <c r="U126" i="16"/>
  <c r="A33" i="17"/>
  <c r="L83" i="16"/>
  <c r="K83" i="16"/>
  <c r="L32" i="16"/>
  <c r="K32" i="16"/>
  <c r="M57" i="16"/>
  <c r="D75" i="16"/>
  <c r="D47" i="16"/>
  <c r="D67" i="16"/>
  <c r="P14" i="16"/>
  <c r="P32" i="16"/>
  <c r="P57" i="16"/>
  <c r="P83" i="16"/>
  <c r="W165" i="12"/>
  <c r="W164" i="12"/>
  <c r="H14" i="16"/>
  <c r="I14" i="16"/>
  <c r="J14" i="16"/>
  <c r="K14" i="16"/>
  <c r="L14" i="16"/>
  <c r="M14" i="16"/>
  <c r="N14" i="16"/>
  <c r="O14" i="16"/>
  <c r="S14" i="16"/>
  <c r="H32" i="16"/>
  <c r="I32" i="16"/>
  <c r="J32" i="16"/>
  <c r="M32" i="16"/>
  <c r="N32" i="16"/>
  <c r="O32" i="16"/>
  <c r="S32" i="16"/>
  <c r="H40" i="16"/>
  <c r="J40" i="16"/>
  <c r="K40" i="16"/>
  <c r="L40" i="16"/>
  <c r="M40" i="16"/>
  <c r="N40" i="16"/>
  <c r="O40" i="16"/>
  <c r="S40" i="16"/>
  <c r="H57" i="16"/>
  <c r="I57" i="16"/>
  <c r="J57" i="16"/>
  <c r="K57" i="16"/>
  <c r="L57" i="16"/>
  <c r="N57" i="16"/>
  <c r="O57" i="16"/>
  <c r="S57" i="16"/>
  <c r="H83" i="16"/>
  <c r="I83" i="16"/>
  <c r="J83" i="16"/>
  <c r="M83" i="16"/>
  <c r="N83" i="16"/>
  <c r="O83" i="16"/>
  <c r="S83" i="16"/>
  <c r="H96" i="16"/>
  <c r="I96" i="16"/>
  <c r="J96" i="16"/>
  <c r="H109" i="16"/>
  <c r="I109" i="16"/>
  <c r="J109" i="16"/>
  <c r="K109" i="16"/>
  <c r="L109" i="16"/>
  <c r="M109" i="16"/>
  <c r="N109" i="16"/>
  <c r="O109" i="16"/>
  <c r="S109" i="16"/>
  <c r="P18" i="9"/>
  <c r="P23" i="9"/>
  <c r="P29" i="9"/>
  <c r="P36" i="9"/>
  <c r="P42" i="9"/>
  <c r="P48" i="9"/>
  <c r="P54" i="9"/>
  <c r="P60" i="9"/>
  <c r="P64" i="9"/>
  <c r="P69" i="9"/>
  <c r="P75" i="9"/>
  <c r="P82" i="9"/>
  <c r="P88" i="9"/>
  <c r="P94" i="9"/>
  <c r="P95" i="9"/>
  <c r="P102" i="9"/>
  <c r="P108" i="9"/>
  <c r="P114" i="9"/>
  <c r="P119" i="9"/>
  <c r="P124" i="9"/>
  <c r="P125" i="9"/>
  <c r="P13" i="9"/>
  <c r="T145" i="3"/>
  <c r="S145" i="3"/>
  <c r="T144" i="3"/>
  <c r="S144" i="3"/>
  <c r="T143" i="3"/>
  <c r="S143" i="3"/>
  <c r="T142" i="3"/>
  <c r="S142" i="3"/>
  <c r="T141" i="3"/>
  <c r="S141" i="3"/>
  <c r="T140" i="3"/>
  <c r="S140" i="3"/>
  <c r="R140" i="3"/>
  <c r="Q140" i="3"/>
  <c r="T139" i="3"/>
  <c r="S139" i="3"/>
  <c r="T138" i="3"/>
  <c r="S138" i="3"/>
  <c r="T137" i="3"/>
  <c r="S137" i="3"/>
  <c r="T136" i="3"/>
  <c r="S136" i="3"/>
  <c r="T135" i="3"/>
  <c r="S135" i="3"/>
  <c r="T134" i="3"/>
  <c r="S134" i="3"/>
  <c r="R134" i="3"/>
  <c r="Q134" i="3"/>
  <c r="T133" i="3"/>
  <c r="S133" i="3"/>
  <c r="T132" i="3"/>
  <c r="S132" i="3"/>
  <c r="T131" i="3"/>
  <c r="S131" i="3"/>
  <c r="T130" i="3"/>
  <c r="S130" i="3"/>
  <c r="T129" i="3"/>
  <c r="S129" i="3"/>
  <c r="T128" i="3"/>
  <c r="S128" i="3"/>
  <c r="R128" i="3"/>
  <c r="Q128" i="3"/>
  <c r="T127" i="3"/>
  <c r="S127" i="3"/>
  <c r="T126" i="3"/>
  <c r="S126" i="3"/>
  <c r="T125" i="3"/>
  <c r="S125" i="3"/>
  <c r="T124" i="3"/>
  <c r="S124" i="3"/>
  <c r="T123" i="3"/>
  <c r="S123" i="3"/>
  <c r="T122" i="3"/>
  <c r="S122" i="3"/>
  <c r="R122" i="3"/>
  <c r="Q122" i="3"/>
  <c r="T121" i="3"/>
  <c r="S121" i="3"/>
  <c r="T120" i="3"/>
  <c r="S120" i="3"/>
  <c r="T119" i="3"/>
  <c r="S119" i="3"/>
  <c r="T118" i="3"/>
  <c r="S118" i="3"/>
  <c r="T117" i="3"/>
  <c r="S117" i="3"/>
  <c r="T116" i="3"/>
  <c r="S116" i="3"/>
  <c r="R116" i="3"/>
  <c r="Q116" i="3"/>
  <c r="T115" i="3"/>
  <c r="S115" i="3"/>
  <c r="T114" i="3"/>
  <c r="S114" i="3"/>
  <c r="T113" i="3"/>
  <c r="S113" i="3"/>
  <c r="T112" i="3"/>
  <c r="S112" i="3"/>
  <c r="T111" i="3"/>
  <c r="S111" i="3"/>
  <c r="T110" i="3"/>
  <c r="S110" i="3"/>
  <c r="R110" i="3"/>
  <c r="Q110" i="3"/>
  <c r="T109" i="3"/>
  <c r="S109" i="3"/>
  <c r="T108" i="3"/>
  <c r="S108" i="3"/>
  <c r="T107" i="3"/>
  <c r="S107" i="3"/>
  <c r="T106" i="3"/>
  <c r="S106" i="3"/>
  <c r="T105" i="3"/>
  <c r="S105" i="3"/>
  <c r="T104" i="3"/>
  <c r="S104" i="3"/>
  <c r="R104" i="3"/>
  <c r="Q104" i="3"/>
  <c r="T103" i="3"/>
  <c r="S103" i="3"/>
  <c r="T102" i="3"/>
  <c r="S102" i="3"/>
  <c r="T101" i="3"/>
  <c r="S101" i="3"/>
  <c r="T100" i="3"/>
  <c r="S100" i="3"/>
  <c r="T99" i="3"/>
  <c r="S99" i="3"/>
  <c r="T98" i="3"/>
  <c r="S98" i="3"/>
  <c r="R98" i="3"/>
  <c r="Q98" i="3"/>
  <c r="T97" i="3"/>
  <c r="S97" i="3"/>
  <c r="T96" i="3"/>
  <c r="S96" i="3"/>
  <c r="T95" i="3"/>
  <c r="S95" i="3"/>
  <c r="T94" i="3"/>
  <c r="S94" i="3"/>
  <c r="T93" i="3"/>
  <c r="S93" i="3"/>
  <c r="T92" i="3"/>
  <c r="S92" i="3"/>
  <c r="R92" i="3"/>
  <c r="Q92" i="3"/>
  <c r="T91" i="3"/>
  <c r="S91" i="3"/>
  <c r="T90" i="3"/>
  <c r="S90" i="3"/>
  <c r="T89" i="3"/>
  <c r="S89" i="3"/>
  <c r="T88" i="3"/>
  <c r="S88" i="3"/>
  <c r="T87" i="3"/>
  <c r="S87" i="3"/>
  <c r="T86" i="3"/>
  <c r="S86" i="3"/>
  <c r="R86" i="3"/>
  <c r="Q86" i="3"/>
  <c r="T85" i="3"/>
  <c r="S85" i="3"/>
  <c r="T84" i="3"/>
  <c r="S84" i="3"/>
  <c r="T83" i="3"/>
  <c r="S83" i="3"/>
  <c r="T82" i="3"/>
  <c r="S82" i="3"/>
  <c r="T81" i="3"/>
  <c r="S81" i="3"/>
  <c r="T80" i="3"/>
  <c r="S80" i="3"/>
  <c r="R80" i="3"/>
  <c r="Q80" i="3"/>
  <c r="T79" i="3"/>
  <c r="S79" i="3"/>
  <c r="T78" i="3"/>
  <c r="S78" i="3"/>
  <c r="T77" i="3"/>
  <c r="S77" i="3"/>
  <c r="T76" i="3"/>
  <c r="S76" i="3"/>
  <c r="T75" i="3"/>
  <c r="S75" i="3"/>
  <c r="T74" i="3"/>
  <c r="S74" i="3"/>
  <c r="R74" i="3"/>
  <c r="Q74" i="3"/>
  <c r="T73" i="3"/>
  <c r="S73" i="3"/>
  <c r="T72" i="3"/>
  <c r="S72" i="3"/>
  <c r="T71" i="3"/>
  <c r="S71" i="3"/>
  <c r="T70" i="3"/>
  <c r="S70" i="3"/>
  <c r="T69" i="3"/>
  <c r="S69" i="3"/>
  <c r="T68" i="3"/>
  <c r="S68" i="3"/>
  <c r="R68" i="3"/>
  <c r="Q68" i="3"/>
  <c r="T67" i="3"/>
  <c r="S67" i="3"/>
  <c r="T66" i="3"/>
  <c r="S66" i="3"/>
  <c r="T65" i="3"/>
  <c r="S65" i="3"/>
  <c r="T64" i="3"/>
  <c r="S64" i="3"/>
  <c r="T63" i="3"/>
  <c r="S63" i="3"/>
  <c r="T62" i="3"/>
  <c r="S62" i="3"/>
  <c r="R62" i="3"/>
  <c r="Q62" i="3"/>
  <c r="T61" i="3"/>
  <c r="S61" i="3"/>
  <c r="T60" i="3"/>
  <c r="S60" i="3"/>
  <c r="T59" i="3"/>
  <c r="S59" i="3"/>
  <c r="T58" i="3"/>
  <c r="S58" i="3"/>
  <c r="T57" i="3"/>
  <c r="S57" i="3"/>
  <c r="T56" i="3"/>
  <c r="S56" i="3"/>
  <c r="R56" i="3"/>
  <c r="Q56" i="3"/>
  <c r="T55" i="3"/>
  <c r="S55" i="3"/>
  <c r="T54" i="3"/>
  <c r="S54" i="3"/>
  <c r="T53" i="3"/>
  <c r="S53" i="3"/>
  <c r="T52" i="3"/>
  <c r="S52" i="3"/>
  <c r="T51" i="3"/>
  <c r="S51" i="3"/>
  <c r="T50" i="3"/>
  <c r="S50" i="3"/>
  <c r="R50" i="3"/>
  <c r="Q50" i="3"/>
  <c r="T49" i="3"/>
  <c r="S49" i="3"/>
  <c r="T48" i="3"/>
  <c r="S48" i="3"/>
  <c r="T47" i="3"/>
  <c r="S47" i="3"/>
  <c r="T46" i="3"/>
  <c r="S46" i="3"/>
  <c r="T45" i="3"/>
  <c r="S45" i="3"/>
  <c r="T44" i="3"/>
  <c r="S44" i="3"/>
  <c r="R44" i="3"/>
  <c r="Q44" i="3"/>
  <c r="T43" i="3"/>
  <c r="S43" i="3"/>
  <c r="T42" i="3"/>
  <c r="S42" i="3"/>
  <c r="T41" i="3"/>
  <c r="S41" i="3"/>
  <c r="T40" i="3"/>
  <c r="S40" i="3"/>
  <c r="T39" i="3"/>
  <c r="S39" i="3"/>
  <c r="T38" i="3"/>
  <c r="S38" i="3"/>
  <c r="R38" i="3"/>
  <c r="Q38" i="3"/>
  <c r="T37" i="3"/>
  <c r="S37" i="3"/>
  <c r="T36" i="3"/>
  <c r="S36" i="3"/>
  <c r="T35" i="3"/>
  <c r="S35" i="3"/>
  <c r="T34" i="3"/>
  <c r="S34" i="3"/>
  <c r="T33" i="3"/>
  <c r="S33" i="3"/>
  <c r="T32" i="3"/>
  <c r="S32" i="3"/>
  <c r="R32" i="3"/>
  <c r="Q32" i="3"/>
  <c r="T31" i="3"/>
  <c r="S31" i="3"/>
  <c r="T30" i="3"/>
  <c r="S30" i="3"/>
  <c r="T29" i="3"/>
  <c r="S29" i="3"/>
  <c r="T28" i="3"/>
  <c r="S28" i="3"/>
  <c r="T27" i="3"/>
  <c r="S27" i="3"/>
  <c r="T26" i="3"/>
  <c r="S26" i="3"/>
  <c r="R26" i="3"/>
  <c r="Q26" i="3"/>
  <c r="T25" i="3"/>
  <c r="S25" i="3"/>
  <c r="T24" i="3"/>
  <c r="S24" i="3"/>
  <c r="T23" i="3"/>
  <c r="S23" i="3"/>
  <c r="T22" i="3"/>
  <c r="S22" i="3"/>
  <c r="T21" i="3"/>
  <c r="S21" i="3"/>
  <c r="T20" i="3"/>
  <c r="S20" i="3"/>
  <c r="R20" i="3"/>
  <c r="Q20" i="3"/>
  <c r="T19" i="3"/>
  <c r="S19" i="3"/>
  <c r="T18" i="3"/>
  <c r="S18" i="3"/>
  <c r="T17" i="3"/>
  <c r="S17" i="3"/>
  <c r="T16" i="3"/>
  <c r="S16" i="3"/>
  <c r="T15" i="3"/>
  <c r="S15" i="3"/>
  <c r="T14" i="3"/>
  <c r="S14" i="3"/>
  <c r="R14" i="3"/>
  <c r="Q14" i="3"/>
  <c r="T13" i="3"/>
  <c r="S13" i="3"/>
  <c r="T12" i="3"/>
  <c r="S12" i="3"/>
  <c r="T11" i="3"/>
  <c r="S11" i="3"/>
  <c r="T10" i="3"/>
  <c r="S10" i="3"/>
  <c r="T9" i="3"/>
  <c r="S9" i="3"/>
  <c r="S9" i="12"/>
  <c r="T9" i="12"/>
  <c r="S10" i="12"/>
  <c r="T10" i="12"/>
  <c r="S11" i="12"/>
  <c r="T11" i="12"/>
  <c r="S12" i="12"/>
  <c r="T12" i="12"/>
  <c r="S13" i="12"/>
  <c r="T13" i="12"/>
  <c r="S14" i="12"/>
  <c r="T14" i="12"/>
  <c r="S15" i="12"/>
  <c r="T15" i="12"/>
  <c r="S16" i="12"/>
  <c r="T16" i="12"/>
  <c r="S17" i="12"/>
  <c r="T17" i="12"/>
  <c r="S18" i="12"/>
  <c r="T18" i="12"/>
  <c r="S19" i="12"/>
  <c r="T19" i="12"/>
  <c r="S20" i="12"/>
  <c r="T20" i="12"/>
  <c r="S21" i="12"/>
  <c r="T21" i="12"/>
  <c r="S22" i="12"/>
  <c r="T22" i="12"/>
  <c r="S23" i="12"/>
  <c r="T23" i="12"/>
  <c r="S24" i="12"/>
  <c r="T24" i="12"/>
  <c r="S25" i="12"/>
  <c r="T25" i="12"/>
  <c r="S26" i="12"/>
  <c r="T26" i="12"/>
  <c r="S27" i="12"/>
  <c r="T27" i="12"/>
  <c r="S28" i="12"/>
  <c r="T28" i="12"/>
  <c r="S29" i="12"/>
  <c r="T29" i="12"/>
  <c r="S30" i="12"/>
  <c r="T30" i="12"/>
  <c r="S31" i="12"/>
  <c r="T31" i="12"/>
  <c r="S32" i="12"/>
  <c r="T32" i="12"/>
  <c r="S33" i="12"/>
  <c r="T33" i="12"/>
  <c r="S34" i="12"/>
  <c r="T34" i="12"/>
  <c r="S35" i="12"/>
  <c r="T35" i="12"/>
  <c r="S36" i="12"/>
  <c r="T36" i="12"/>
  <c r="S37" i="12"/>
  <c r="T37" i="12"/>
  <c r="S38" i="12"/>
  <c r="T38" i="12"/>
  <c r="S39" i="12"/>
  <c r="T39" i="12"/>
  <c r="S40" i="12"/>
  <c r="T40" i="12"/>
  <c r="S41" i="12"/>
  <c r="T41" i="12"/>
  <c r="S42" i="12"/>
  <c r="T42" i="12"/>
  <c r="S43" i="12"/>
  <c r="T43" i="12"/>
  <c r="S44" i="12"/>
  <c r="T44" i="12"/>
  <c r="S45" i="12"/>
  <c r="T45" i="12"/>
  <c r="S46" i="12"/>
  <c r="T46" i="12"/>
  <c r="S47" i="12"/>
  <c r="T47" i="12"/>
  <c r="S48" i="12"/>
  <c r="T48" i="12"/>
  <c r="S49" i="12"/>
  <c r="T49" i="12"/>
  <c r="S50" i="12"/>
  <c r="T50" i="12"/>
  <c r="S51" i="12"/>
  <c r="T51" i="12"/>
  <c r="S52" i="12"/>
  <c r="T52" i="12"/>
  <c r="S53" i="12"/>
  <c r="T53" i="12"/>
  <c r="S54" i="12"/>
  <c r="T54" i="12"/>
  <c r="S55" i="12"/>
  <c r="T55" i="12"/>
  <c r="S56" i="12"/>
  <c r="T56" i="12"/>
  <c r="S57" i="12"/>
  <c r="T57" i="12"/>
  <c r="S58" i="12"/>
  <c r="T58" i="12"/>
  <c r="S59" i="12"/>
  <c r="T59" i="12"/>
  <c r="S60" i="12"/>
  <c r="T60" i="12"/>
  <c r="S61" i="12"/>
  <c r="T61" i="12"/>
  <c r="S62" i="12"/>
  <c r="T62" i="12"/>
  <c r="S63" i="12"/>
  <c r="T63" i="12"/>
  <c r="S64" i="12"/>
  <c r="T64" i="12"/>
  <c r="S65" i="12"/>
  <c r="T65" i="12"/>
  <c r="S66" i="12"/>
  <c r="T66" i="12"/>
  <c r="S67" i="12"/>
  <c r="T67" i="12"/>
  <c r="S68" i="12"/>
  <c r="T68" i="12"/>
  <c r="S69" i="12"/>
  <c r="T69" i="12"/>
  <c r="S70" i="12"/>
  <c r="T70" i="12"/>
  <c r="S71" i="12"/>
  <c r="T71" i="12"/>
  <c r="S72" i="12"/>
  <c r="T72" i="12"/>
  <c r="S73" i="12"/>
  <c r="T73" i="12"/>
  <c r="S74" i="12"/>
  <c r="T74" i="12"/>
  <c r="S75" i="12"/>
  <c r="T75" i="12"/>
  <c r="S76" i="12"/>
  <c r="T76" i="12"/>
  <c r="S77" i="12"/>
  <c r="T77" i="12"/>
  <c r="S78" i="12"/>
  <c r="T78" i="12"/>
  <c r="S79" i="12"/>
  <c r="T79" i="12"/>
  <c r="S80" i="12"/>
  <c r="T80" i="12"/>
  <c r="S81" i="12"/>
  <c r="T81" i="12"/>
  <c r="S82" i="12"/>
  <c r="T82" i="12"/>
  <c r="S83" i="12"/>
  <c r="T83" i="12"/>
  <c r="S84" i="12"/>
  <c r="T84" i="12"/>
  <c r="S85" i="12"/>
  <c r="T85" i="12"/>
  <c r="S86" i="12"/>
  <c r="T86" i="12"/>
  <c r="S87" i="12"/>
  <c r="T87" i="12"/>
  <c r="S88" i="12"/>
  <c r="T88" i="12"/>
  <c r="S89" i="12"/>
  <c r="T89" i="12"/>
  <c r="S90" i="12"/>
  <c r="T90" i="12"/>
  <c r="S91" i="12"/>
  <c r="T91" i="12"/>
  <c r="S92" i="12"/>
  <c r="T92" i="12"/>
  <c r="S93" i="12"/>
  <c r="T93" i="12"/>
  <c r="S94" i="12"/>
  <c r="T94" i="12"/>
  <c r="S95" i="12"/>
  <c r="T95" i="12"/>
  <c r="S96" i="12"/>
  <c r="T96" i="12"/>
  <c r="S97" i="12"/>
  <c r="T97" i="12"/>
  <c r="S98" i="12"/>
  <c r="T98" i="12"/>
  <c r="S99" i="12"/>
  <c r="T99" i="12"/>
  <c r="S100" i="12"/>
  <c r="T100" i="12"/>
  <c r="S101" i="12"/>
  <c r="T101" i="12"/>
  <c r="S102" i="12"/>
  <c r="T102" i="12"/>
  <c r="S103" i="12"/>
  <c r="T103" i="12"/>
  <c r="S104" i="12"/>
  <c r="T104" i="12"/>
  <c r="S105" i="12"/>
  <c r="T105" i="12"/>
  <c r="S106" i="12"/>
  <c r="T106" i="12"/>
  <c r="S107" i="12"/>
  <c r="T107" i="12"/>
  <c r="S108" i="12"/>
  <c r="T108" i="12"/>
  <c r="S109" i="12"/>
  <c r="T109" i="12"/>
  <c r="S110" i="12"/>
  <c r="T110" i="12"/>
  <c r="S111" i="12"/>
  <c r="T111" i="12"/>
  <c r="S112" i="12"/>
  <c r="T112" i="12"/>
  <c r="S113" i="12"/>
  <c r="T113" i="12"/>
  <c r="S114" i="12"/>
  <c r="T114" i="12"/>
  <c r="S115" i="12"/>
  <c r="T115" i="12"/>
  <c r="S116" i="12"/>
  <c r="T116" i="12"/>
  <c r="S117" i="12"/>
  <c r="T117" i="12"/>
  <c r="S118" i="12"/>
  <c r="T118" i="12"/>
  <c r="S119" i="12"/>
  <c r="T119" i="12"/>
  <c r="S120" i="12"/>
  <c r="T120" i="12"/>
  <c r="S121" i="12"/>
  <c r="T121" i="12"/>
  <c r="S122" i="12"/>
  <c r="T122" i="12"/>
  <c r="S123" i="12"/>
  <c r="T123" i="12"/>
  <c r="S124" i="12"/>
  <c r="T124" i="12"/>
  <c r="S125" i="12"/>
  <c r="T125" i="12"/>
  <c r="S126" i="12"/>
  <c r="T126" i="12"/>
  <c r="S127" i="12"/>
  <c r="T127" i="12"/>
  <c r="S128" i="12"/>
  <c r="T128" i="12"/>
  <c r="S129" i="12"/>
  <c r="T129" i="12"/>
  <c r="S130" i="12"/>
  <c r="T130" i="12"/>
  <c r="S131" i="12"/>
  <c r="T131" i="12"/>
  <c r="S132" i="12"/>
  <c r="T132" i="12"/>
  <c r="S133" i="12"/>
  <c r="T133" i="12"/>
  <c r="S134" i="12"/>
  <c r="T134" i="12"/>
  <c r="S135" i="12"/>
  <c r="T135" i="12"/>
  <c r="S136" i="12"/>
  <c r="T136" i="12"/>
  <c r="S137" i="12"/>
  <c r="T137" i="12"/>
  <c r="S138" i="12"/>
  <c r="T138" i="12"/>
  <c r="S139" i="12"/>
  <c r="T139" i="12"/>
  <c r="S140" i="12"/>
  <c r="T140" i="12"/>
  <c r="S141" i="12"/>
  <c r="T141" i="12"/>
  <c r="S142" i="12"/>
  <c r="T142" i="12"/>
  <c r="S143" i="12"/>
  <c r="T143" i="12"/>
  <c r="S144" i="12"/>
  <c r="T144" i="12"/>
  <c r="T8" i="12"/>
  <c r="S8" i="12"/>
  <c r="Q13" i="12"/>
  <c r="R13" i="12"/>
  <c r="Q19" i="12"/>
  <c r="R19" i="12"/>
  <c r="Q25" i="12"/>
  <c r="R25" i="12"/>
  <c r="Q31" i="12"/>
  <c r="R31" i="12"/>
  <c r="Q37" i="12"/>
  <c r="R37" i="12"/>
  <c r="Q43" i="12"/>
  <c r="R43" i="12"/>
  <c r="Q49" i="12"/>
  <c r="R49" i="12"/>
  <c r="Q55" i="12"/>
  <c r="R55" i="12"/>
  <c r="Q61" i="12"/>
  <c r="R61" i="12"/>
  <c r="Q67" i="12"/>
  <c r="R67" i="12"/>
  <c r="Q73" i="12"/>
  <c r="R73" i="12"/>
  <c r="Q79" i="12"/>
  <c r="R79" i="12"/>
  <c r="Q85" i="12"/>
  <c r="R85" i="12"/>
  <c r="Q91" i="12"/>
  <c r="R91" i="12"/>
  <c r="Q97" i="12"/>
  <c r="R97" i="12"/>
  <c r="Q103" i="12"/>
  <c r="R103" i="12"/>
  <c r="Q109" i="12"/>
  <c r="R109" i="12"/>
  <c r="Q115" i="12"/>
  <c r="R115" i="12"/>
  <c r="Q121" i="12"/>
  <c r="R121" i="12"/>
  <c r="Q127" i="12"/>
  <c r="R127" i="12"/>
  <c r="Q133" i="12"/>
  <c r="R133" i="12"/>
  <c r="Q139" i="12"/>
  <c r="R139" i="12"/>
  <c r="B18" i="5"/>
  <c r="L24" i="2"/>
  <c r="L17" i="2"/>
  <c r="I24" i="2"/>
  <c r="D140" i="12" s="1"/>
  <c r="J24" i="2"/>
  <c r="M26" i="2"/>
  <c r="M58" i="12"/>
  <c r="D138" i="12"/>
  <c r="D137" i="12"/>
  <c r="D136" i="12"/>
  <c r="D135" i="12"/>
  <c r="D134" i="12"/>
  <c r="D143" i="12"/>
  <c r="G143" i="12" s="1"/>
  <c r="Q143" i="12" s="1"/>
  <c r="D144" i="12"/>
  <c r="E144" i="12" s="1"/>
  <c r="D142" i="12"/>
  <c r="G142" i="12" s="1"/>
  <c r="R142" i="12" s="1"/>
  <c r="D141" i="12"/>
  <c r="F141" i="12" s="1"/>
  <c r="D132" i="12"/>
  <c r="G132" i="12" s="1"/>
  <c r="Q132" i="12" s="1"/>
  <c r="D131" i="12"/>
  <c r="D130" i="12"/>
  <c r="G130" i="12" s="1"/>
  <c r="Q130" i="12" s="1"/>
  <c r="D129" i="12"/>
  <c r="D128" i="12"/>
  <c r="D126" i="12"/>
  <c r="E126" i="12" s="1"/>
  <c r="D125" i="12"/>
  <c r="D124" i="12"/>
  <c r="D123" i="12"/>
  <c r="D122" i="12"/>
  <c r="D120" i="12"/>
  <c r="E120" i="12" s="1"/>
  <c r="D119" i="12"/>
  <c r="D118" i="12"/>
  <c r="D117" i="12"/>
  <c r="D116" i="12"/>
  <c r="D114" i="12"/>
  <c r="G114" i="12" s="1"/>
  <c r="Q114" i="12" s="1"/>
  <c r="D113" i="12"/>
  <c r="G113" i="12" s="1"/>
  <c r="Q113" i="12" s="1"/>
  <c r="D112" i="12"/>
  <c r="D111" i="12"/>
  <c r="F111" i="12" s="1"/>
  <c r="D110" i="12"/>
  <c r="D106" i="12"/>
  <c r="D108" i="12"/>
  <c r="E108" i="12" s="1"/>
  <c r="D107" i="12"/>
  <c r="D105" i="12"/>
  <c r="D104" i="12"/>
  <c r="G104" i="12" s="1"/>
  <c r="Q104" i="12" s="1"/>
  <c r="D101" i="12"/>
  <c r="G101" i="12" s="1"/>
  <c r="Q101" i="12" s="1"/>
  <c r="D102" i="12"/>
  <c r="E102" i="12" s="1"/>
  <c r="D100" i="12"/>
  <c r="P31" i="10"/>
  <c r="D95" i="12"/>
  <c r="E95" i="12" s="1"/>
  <c r="D92" i="12"/>
  <c r="G92" i="12" s="1"/>
  <c r="Q92" i="12" s="1"/>
  <c r="D96" i="12"/>
  <c r="F96" i="12" s="1"/>
  <c r="D94" i="12"/>
  <c r="E94" i="12" s="1"/>
  <c r="D93" i="12"/>
  <c r="E93" i="12" s="1"/>
  <c r="D90" i="12"/>
  <c r="E90" i="12" s="1"/>
  <c r="D89" i="12"/>
  <c r="E89" i="12" s="1"/>
  <c r="D86" i="12"/>
  <c r="G86" i="12" s="1"/>
  <c r="Q86" i="12" s="1"/>
  <c r="D88" i="12"/>
  <c r="F88" i="12" s="1"/>
  <c r="D87" i="12"/>
  <c r="F87" i="12" s="1"/>
  <c r="M22" i="10"/>
  <c r="M23" i="10"/>
  <c r="L31" i="10"/>
  <c r="F39" i="10" s="1"/>
  <c r="D84" i="12"/>
  <c r="F84" i="12" s="1"/>
  <c r="D83" i="12"/>
  <c r="G83" i="12" s="1"/>
  <c r="R83" i="12" s="1"/>
  <c r="D82" i="12"/>
  <c r="E82" i="12" s="1"/>
  <c r="D81" i="12"/>
  <c r="E81" i="12" s="1"/>
  <c r="D80" i="12"/>
  <c r="E80" i="12" s="1"/>
  <c r="D78" i="12"/>
  <c r="E78" i="12" s="1"/>
  <c r="D77" i="12"/>
  <c r="G77" i="12" s="1"/>
  <c r="Q77" i="12" s="1"/>
  <c r="D76" i="12"/>
  <c r="F76" i="12" s="1"/>
  <c r="D75" i="12"/>
  <c r="F75" i="12" s="1"/>
  <c r="D74" i="12"/>
  <c r="F74" i="12" s="1"/>
  <c r="D72" i="12"/>
  <c r="F72" i="12" s="1"/>
  <c r="D71" i="12"/>
  <c r="G71" i="12" s="1"/>
  <c r="Q71" i="12" s="1"/>
  <c r="D70" i="12"/>
  <c r="F70" i="12" s="1"/>
  <c r="D69" i="12"/>
  <c r="E69" i="12" s="1"/>
  <c r="D68" i="12"/>
  <c r="G68" i="12" s="1"/>
  <c r="Q68" i="12" s="1"/>
  <c r="D66" i="12"/>
  <c r="D65" i="12"/>
  <c r="G65" i="12" s="1"/>
  <c r="R65" i="12" s="1"/>
  <c r="D64" i="12"/>
  <c r="D63" i="12"/>
  <c r="F63" i="12" s="1"/>
  <c r="D62" i="12"/>
  <c r="G62" i="12" s="1"/>
  <c r="Q62" i="12" s="1"/>
  <c r="D60" i="12"/>
  <c r="E60" i="12" s="1"/>
  <c r="D59" i="12"/>
  <c r="G59" i="12" s="1"/>
  <c r="R59" i="12" s="1"/>
  <c r="D58" i="12"/>
  <c r="G58" i="12" s="1"/>
  <c r="Q58" i="12" s="1"/>
  <c r="D57" i="12"/>
  <c r="F57" i="12" s="1"/>
  <c r="D56" i="12"/>
  <c r="G56" i="12" s="1"/>
  <c r="Q56" i="12" s="1"/>
  <c r="E79" i="12"/>
  <c r="D53" i="12"/>
  <c r="G53" i="12" s="1"/>
  <c r="R53" i="12" s="1"/>
  <c r="D54" i="12"/>
  <c r="E54" i="12" s="1"/>
  <c r="D52" i="12"/>
  <c r="E52" i="12" s="1"/>
  <c r="D51" i="12"/>
  <c r="E51" i="12" s="1"/>
  <c r="D50" i="12"/>
  <c r="G50" i="12" s="1"/>
  <c r="Q50" i="12" s="1"/>
  <c r="D48" i="12"/>
  <c r="E48" i="12" s="1"/>
  <c r="D44" i="12"/>
  <c r="E44" i="12" s="1"/>
  <c r="D47" i="12"/>
  <c r="G47" i="12" s="1"/>
  <c r="Q47" i="12" s="1"/>
  <c r="D46" i="12"/>
  <c r="E46" i="12" s="1"/>
  <c r="D45" i="12"/>
  <c r="E45" i="12" s="1"/>
  <c r="D40" i="12"/>
  <c r="F40" i="12" s="1"/>
  <c r="D42" i="12"/>
  <c r="E42" i="12" s="1"/>
  <c r="D41" i="12"/>
  <c r="G41" i="12" s="1"/>
  <c r="Q41" i="12" s="1"/>
  <c r="D39" i="12"/>
  <c r="E39" i="12" s="1"/>
  <c r="D38" i="12"/>
  <c r="G38" i="12" s="1"/>
  <c r="Q38" i="12" s="1"/>
  <c r="D36" i="12"/>
  <c r="E36" i="12" s="1"/>
  <c r="D35" i="12"/>
  <c r="F35" i="12" s="1"/>
  <c r="D34" i="12"/>
  <c r="G34" i="12" s="1"/>
  <c r="Q34" i="12" s="1"/>
  <c r="D33" i="12"/>
  <c r="F33" i="12" s="1"/>
  <c r="D32" i="12"/>
  <c r="E32" i="12" s="1"/>
  <c r="D29" i="12"/>
  <c r="E29" i="12" s="1"/>
  <c r="D30" i="12"/>
  <c r="E30" i="12" s="1"/>
  <c r="D28" i="12"/>
  <c r="F28" i="12" s="1"/>
  <c r="D27" i="12"/>
  <c r="E27" i="12" s="1"/>
  <c r="D26" i="12"/>
  <c r="G26" i="12" s="1"/>
  <c r="Q26" i="12" s="1"/>
  <c r="H24" i="10"/>
  <c r="H25" i="10"/>
  <c r="H26" i="10"/>
  <c r="H27" i="10"/>
  <c r="H23" i="10"/>
  <c r="D24" i="12"/>
  <c r="E24" i="12" s="1"/>
  <c r="D23" i="12"/>
  <c r="E23" i="12" s="1"/>
  <c r="D22" i="12"/>
  <c r="G22" i="12" s="1"/>
  <c r="Q22" i="12" s="1"/>
  <c r="D21" i="12"/>
  <c r="F21" i="12" s="1"/>
  <c r="D20" i="12"/>
  <c r="G20" i="12" s="1"/>
  <c r="Q20" i="12" s="1"/>
  <c r="E123" i="12" l="1"/>
  <c r="E99" i="12"/>
  <c r="E100" i="12"/>
  <c r="E72" i="12"/>
  <c r="F107" i="12"/>
  <c r="E116" i="12"/>
  <c r="G125" i="12"/>
  <c r="R125" i="12" s="1"/>
  <c r="D98" i="12"/>
  <c r="F98" i="12" s="1"/>
  <c r="F117" i="12"/>
  <c r="E105" i="12"/>
  <c r="F106" i="12"/>
  <c r="E118" i="12"/>
  <c r="G128" i="12"/>
  <c r="R128" i="12" s="1"/>
  <c r="G110" i="12"/>
  <c r="Q110" i="12" s="1"/>
  <c r="G119" i="12"/>
  <c r="R119" i="12" s="1"/>
  <c r="G129" i="12"/>
  <c r="Q129" i="12" s="1"/>
  <c r="E112" i="12"/>
  <c r="G122" i="12"/>
  <c r="Q122" i="12" s="1"/>
  <c r="G131" i="12"/>
  <c r="R131" i="12" s="1"/>
  <c r="E124" i="12"/>
  <c r="T33" i="5"/>
  <c r="T32" i="5"/>
  <c r="A45" i="17"/>
  <c r="AH61" i="17"/>
  <c r="A35" i="17"/>
  <c r="R113" i="12"/>
  <c r="R114" i="12"/>
  <c r="Q83" i="12"/>
  <c r="R101" i="12"/>
  <c r="Q59" i="12"/>
  <c r="R77" i="12"/>
  <c r="R58" i="12"/>
  <c r="R41" i="12"/>
  <c r="R38" i="12"/>
  <c r="R132" i="12"/>
  <c r="R104" i="12"/>
  <c r="R50" i="12"/>
  <c r="R130" i="12"/>
  <c r="R34" i="12"/>
  <c r="R86" i="12"/>
  <c r="R62" i="12"/>
  <c r="R26" i="12"/>
  <c r="R22" i="12"/>
  <c r="Q65" i="12"/>
  <c r="Q53" i="12"/>
  <c r="R92" i="12"/>
  <c r="R68" i="12"/>
  <c r="R56" i="12"/>
  <c r="R20" i="12"/>
  <c r="R143" i="12"/>
  <c r="Q128" i="12"/>
  <c r="R71" i="12"/>
  <c r="R47" i="12"/>
  <c r="Q142" i="12"/>
  <c r="G116" i="12"/>
  <c r="E140" i="12"/>
  <c r="G140" i="12"/>
  <c r="F140" i="12"/>
  <c r="F142" i="12"/>
  <c r="E119" i="12"/>
  <c r="G93" i="12"/>
  <c r="O93" i="12" s="1"/>
  <c r="E141" i="12"/>
  <c r="G82" i="12"/>
  <c r="E117" i="12"/>
  <c r="F116" i="12"/>
  <c r="H23" i="12"/>
  <c r="F114" i="12"/>
  <c r="E114" i="12"/>
  <c r="F143" i="12"/>
  <c r="G24" i="12"/>
  <c r="E28" i="12"/>
  <c r="F80" i="12"/>
  <c r="F119" i="12"/>
  <c r="E143" i="12"/>
  <c r="F24" i="12"/>
  <c r="E50" i="12"/>
  <c r="F30" i="12"/>
  <c r="F82" i="12"/>
  <c r="F93" i="12"/>
  <c r="G102" i="12"/>
  <c r="G118" i="12"/>
  <c r="G23" i="12"/>
  <c r="G30" i="12"/>
  <c r="G29" i="12"/>
  <c r="F102" i="12"/>
  <c r="F118" i="12"/>
  <c r="F23" i="12"/>
  <c r="E40" i="12"/>
  <c r="F47" i="12"/>
  <c r="E142" i="12"/>
  <c r="F126" i="12"/>
  <c r="G126" i="12"/>
  <c r="G106" i="12"/>
  <c r="E92" i="12"/>
  <c r="E96" i="12"/>
  <c r="F94" i="12"/>
  <c r="G94" i="12"/>
  <c r="G90" i="12"/>
  <c r="F90" i="12"/>
  <c r="E88" i="12"/>
  <c r="G84" i="12"/>
  <c r="E84" i="12"/>
  <c r="E83" i="12"/>
  <c r="F83" i="12"/>
  <c r="E77" i="12"/>
  <c r="E74" i="12"/>
  <c r="G74" i="12"/>
  <c r="G78" i="12"/>
  <c r="E66" i="12"/>
  <c r="F46" i="12"/>
  <c r="F44" i="12"/>
  <c r="E47" i="12"/>
  <c r="G46" i="12"/>
  <c r="G44" i="12"/>
  <c r="G48" i="12"/>
  <c r="F29" i="12"/>
  <c r="F26" i="12"/>
  <c r="F22" i="12"/>
  <c r="G28" i="12"/>
  <c r="F48" i="12"/>
  <c r="G45" i="12"/>
  <c r="F50" i="12"/>
  <c r="G51" i="12"/>
  <c r="F69" i="12"/>
  <c r="F77" i="12"/>
  <c r="G81" i="12"/>
  <c r="G89" i="12"/>
  <c r="E87" i="12"/>
  <c r="F92" i="12"/>
  <c r="G100" i="12"/>
  <c r="G108" i="12"/>
  <c r="E106" i="12"/>
  <c r="F113" i="12"/>
  <c r="G120" i="12"/>
  <c r="F125" i="12"/>
  <c r="G144" i="12"/>
  <c r="G21" i="12"/>
  <c r="F45" i="12"/>
  <c r="F51" i="12"/>
  <c r="G76" i="12"/>
  <c r="F81" i="12"/>
  <c r="F89" i="12"/>
  <c r="F100" i="12"/>
  <c r="F108" i="12"/>
  <c r="G105" i="12"/>
  <c r="E110" i="12"/>
  <c r="E113" i="12"/>
  <c r="F120" i="12"/>
  <c r="G117" i="12"/>
  <c r="E122" i="12"/>
  <c r="E125" i="12"/>
  <c r="F144" i="12"/>
  <c r="G141" i="12"/>
  <c r="G27" i="12"/>
  <c r="G54" i="12"/>
  <c r="E76" i="12"/>
  <c r="E86" i="12"/>
  <c r="G96" i="12"/>
  <c r="F105" i="12"/>
  <c r="F110" i="12"/>
  <c r="G112" i="12"/>
  <c r="F122" i="12"/>
  <c r="G124" i="12"/>
  <c r="G52" i="12"/>
  <c r="E107" i="12"/>
  <c r="G123" i="12"/>
  <c r="G87" i="12"/>
  <c r="F95" i="12"/>
  <c r="E111" i="12"/>
  <c r="E26" i="12"/>
  <c r="F27" i="12"/>
  <c r="F54" i="12"/>
  <c r="F86" i="12"/>
  <c r="G88" i="12"/>
  <c r="G107" i="12"/>
  <c r="O107" i="12" s="1"/>
  <c r="F112" i="12"/>
  <c r="F124" i="12"/>
  <c r="G95" i="12"/>
  <c r="G111" i="12"/>
  <c r="F52" i="12"/>
  <c r="F78" i="12"/>
  <c r="G80" i="12"/>
  <c r="F123" i="12"/>
  <c r="G69" i="12"/>
  <c r="G40" i="12"/>
  <c r="F59" i="12"/>
  <c r="E129" i="12"/>
  <c r="F129" i="12"/>
  <c r="E130" i="12"/>
  <c r="F128" i="12"/>
  <c r="F130" i="12"/>
  <c r="F132" i="12"/>
  <c r="E131" i="12"/>
  <c r="F131" i="12"/>
  <c r="E128" i="12"/>
  <c r="E132" i="12"/>
  <c r="E104" i="12"/>
  <c r="F104" i="12"/>
  <c r="F101" i="12"/>
  <c r="E101" i="12"/>
  <c r="G99" i="12"/>
  <c r="F99" i="12"/>
  <c r="G39" i="10"/>
  <c r="H39" i="10"/>
  <c r="E75" i="12"/>
  <c r="G75" i="12"/>
  <c r="G72" i="12"/>
  <c r="E71" i="12"/>
  <c r="F71" i="12"/>
  <c r="E70" i="12"/>
  <c r="G70" i="12"/>
  <c r="F68" i="12"/>
  <c r="E68" i="12"/>
  <c r="G66" i="12"/>
  <c r="E65" i="12"/>
  <c r="E64" i="12"/>
  <c r="G64" i="12"/>
  <c r="G63" i="12"/>
  <c r="E63" i="12"/>
  <c r="F62" i="12"/>
  <c r="E62" i="12"/>
  <c r="G60" i="12"/>
  <c r="F60" i="12"/>
  <c r="E59" i="12"/>
  <c r="F58" i="12"/>
  <c r="E58" i="12"/>
  <c r="E57" i="12"/>
  <c r="G57" i="12"/>
  <c r="O57" i="12" s="1"/>
  <c r="E56" i="12"/>
  <c r="F56" i="12"/>
  <c r="F53" i="12"/>
  <c r="E53" i="12"/>
  <c r="E41" i="12"/>
  <c r="F41" i="12"/>
  <c r="F39" i="12"/>
  <c r="E38" i="12"/>
  <c r="F38" i="12"/>
  <c r="G36" i="12"/>
  <c r="F36" i="12"/>
  <c r="G35" i="12"/>
  <c r="E35" i="12"/>
  <c r="F34" i="12"/>
  <c r="E34" i="12"/>
  <c r="E33" i="12"/>
  <c r="G33" i="12"/>
  <c r="G42" i="12"/>
  <c r="F42" i="12"/>
  <c r="G39" i="12"/>
  <c r="F32" i="12"/>
  <c r="G32" i="12"/>
  <c r="H28" i="12"/>
  <c r="E21" i="12"/>
  <c r="E22" i="12"/>
  <c r="E20" i="12"/>
  <c r="F20" i="12"/>
  <c r="D126" i="16"/>
  <c r="D125" i="16"/>
  <c r="D124" i="16"/>
  <c r="D123" i="16"/>
  <c r="D117" i="16"/>
  <c r="D116" i="16"/>
  <c r="D112" i="16"/>
  <c r="D111" i="16"/>
  <c r="E109" i="16"/>
  <c r="D109" i="16"/>
  <c r="D107" i="16"/>
  <c r="D106" i="16"/>
  <c r="D105" i="16"/>
  <c r="D104" i="16"/>
  <c r="D103" i="16"/>
  <c r="D100" i="16"/>
  <c r="D99" i="16"/>
  <c r="D98" i="16"/>
  <c r="D97" i="16"/>
  <c r="E96" i="16"/>
  <c r="D96" i="16"/>
  <c r="D94" i="16"/>
  <c r="D93" i="16"/>
  <c r="D92" i="16"/>
  <c r="D88" i="16"/>
  <c r="D87" i="16"/>
  <c r="D86" i="16"/>
  <c r="D85" i="16"/>
  <c r="D84" i="16"/>
  <c r="D83" i="16"/>
  <c r="D81" i="16"/>
  <c r="D80" i="16"/>
  <c r="D79" i="16"/>
  <c r="D78" i="16"/>
  <c r="D77" i="16"/>
  <c r="D76" i="16"/>
  <c r="D74" i="16"/>
  <c r="D73" i="16"/>
  <c r="D72" i="16"/>
  <c r="D71" i="16"/>
  <c r="D66" i="16"/>
  <c r="D65" i="16"/>
  <c r="D64" i="16"/>
  <c r="D61" i="16"/>
  <c r="D60" i="16"/>
  <c r="D59" i="16"/>
  <c r="D58" i="16"/>
  <c r="D57" i="16"/>
  <c r="D55" i="16"/>
  <c r="D54" i="16"/>
  <c r="D53" i="16"/>
  <c r="D52" i="16"/>
  <c r="D51" i="16"/>
  <c r="D50" i="16"/>
  <c r="D49" i="16"/>
  <c r="D45" i="16"/>
  <c r="D43" i="16"/>
  <c r="D42" i="16"/>
  <c r="D41" i="16"/>
  <c r="E40" i="16"/>
  <c r="D40" i="16"/>
  <c r="D38" i="16"/>
  <c r="D37" i="16"/>
  <c r="D35" i="16"/>
  <c r="D34" i="16"/>
  <c r="D32" i="16"/>
  <c r="D30" i="16"/>
  <c r="D29" i="16"/>
  <c r="D28" i="16"/>
  <c r="D25" i="16"/>
  <c r="D22" i="16"/>
  <c r="D21" i="16"/>
  <c r="D20" i="16"/>
  <c r="D18" i="16"/>
  <c r="D16" i="16"/>
  <c r="D15" i="16"/>
  <c r="D14" i="16"/>
  <c r="D9" i="16"/>
  <c r="D8" i="16"/>
  <c r="D7" i="16"/>
  <c r="C8" i="18" s="1"/>
  <c r="B2" i="16"/>
  <c r="B99" i="13"/>
  <c r="L99" i="13"/>
  <c r="D101" i="9"/>
  <c r="C99" i="13" s="1"/>
  <c r="D94" i="9"/>
  <c r="H94" i="9"/>
  <c r="I94" i="9"/>
  <c r="J94" i="9"/>
  <c r="K94" i="9"/>
  <c r="L94" i="9"/>
  <c r="M94" i="9"/>
  <c r="N94" i="9"/>
  <c r="O94" i="9"/>
  <c r="E94" i="9" s="1"/>
  <c r="Q94" i="9"/>
  <c r="J22" i="13"/>
  <c r="J28" i="13"/>
  <c r="J35" i="13"/>
  <c r="J41" i="13"/>
  <c r="J47" i="13"/>
  <c r="J53" i="13"/>
  <c r="J59" i="13"/>
  <c r="J63" i="13"/>
  <c r="J68" i="13"/>
  <c r="J74" i="13"/>
  <c r="J81" i="13"/>
  <c r="J87" i="13"/>
  <c r="J93" i="13"/>
  <c r="J106" i="13"/>
  <c r="J112" i="13"/>
  <c r="J12" i="13"/>
  <c r="J17" i="13"/>
  <c r="V14" i="3"/>
  <c r="V20" i="3"/>
  <c r="V26" i="3"/>
  <c r="V32" i="3"/>
  <c r="V38" i="3"/>
  <c r="V44" i="3"/>
  <c r="V50" i="3"/>
  <c r="V56" i="3"/>
  <c r="V62" i="3"/>
  <c r="V68" i="3"/>
  <c r="V74" i="3"/>
  <c r="V80" i="3"/>
  <c r="V86" i="3"/>
  <c r="V92" i="3"/>
  <c r="V98" i="3"/>
  <c r="V104" i="3"/>
  <c r="V110" i="3"/>
  <c r="V116" i="3"/>
  <c r="V122" i="3"/>
  <c r="V128" i="3"/>
  <c r="V134" i="3"/>
  <c r="V140" i="3"/>
  <c r="V146" i="3"/>
  <c r="V152" i="3"/>
  <c r="V158" i="3"/>
  <c r="V164" i="3"/>
  <c r="V170" i="3"/>
  <c r="V176" i="3"/>
  <c r="V182" i="3"/>
  <c r="B2" i="5"/>
  <c r="A2" i="13"/>
  <c r="B2" i="9"/>
  <c r="B6" i="13"/>
  <c r="L7" i="13"/>
  <c r="L8" i="13"/>
  <c r="L9" i="13"/>
  <c r="L10" i="13"/>
  <c r="L11" i="13"/>
  <c r="G12" i="13"/>
  <c r="H12" i="13"/>
  <c r="I12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G28" i="13"/>
  <c r="H28" i="13"/>
  <c r="I28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G47" i="13"/>
  <c r="H47" i="13"/>
  <c r="I47" i="13"/>
  <c r="L47" i="13"/>
  <c r="L48" i="13"/>
  <c r="L49" i="13"/>
  <c r="L50" i="13"/>
  <c r="L51" i="13"/>
  <c r="L52" i="13"/>
  <c r="G53" i="13"/>
  <c r="H53" i="13"/>
  <c r="I53" i="13"/>
  <c r="L53" i="13"/>
  <c r="L54" i="13"/>
  <c r="L55" i="13"/>
  <c r="L56" i="13"/>
  <c r="L57" i="13"/>
  <c r="L58" i="13"/>
  <c r="G59" i="13"/>
  <c r="H59" i="13"/>
  <c r="I59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G74" i="13"/>
  <c r="H74" i="13"/>
  <c r="I74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6" i="13"/>
  <c r="E12" i="13"/>
  <c r="F12" i="13"/>
  <c r="E28" i="13"/>
  <c r="F28" i="13"/>
  <c r="E47" i="13"/>
  <c r="F47" i="13"/>
  <c r="E53" i="13"/>
  <c r="F53" i="13"/>
  <c r="E59" i="13"/>
  <c r="F59" i="13"/>
  <c r="E74" i="13"/>
  <c r="F74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D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D47" i="13"/>
  <c r="B48" i="13"/>
  <c r="B49" i="13"/>
  <c r="B50" i="13"/>
  <c r="B51" i="13"/>
  <c r="B52" i="13"/>
  <c r="B53" i="13"/>
  <c r="D53" i="13"/>
  <c r="B54" i="13"/>
  <c r="B55" i="13"/>
  <c r="B56" i="13"/>
  <c r="B57" i="13"/>
  <c r="B58" i="13"/>
  <c r="B59" i="13"/>
  <c r="D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D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7" i="13"/>
  <c r="B8" i="13"/>
  <c r="B9" i="13"/>
  <c r="B10" i="13"/>
  <c r="B11" i="13"/>
  <c r="B12" i="13"/>
  <c r="D12" i="13"/>
  <c r="B13" i="13"/>
  <c r="Q13" i="9"/>
  <c r="K12" i="13" s="1"/>
  <c r="Q18" i="9"/>
  <c r="K17" i="13" s="1"/>
  <c r="Q23" i="9"/>
  <c r="K22" i="13" s="1"/>
  <c r="Q29" i="9"/>
  <c r="K28" i="13" s="1"/>
  <c r="Q36" i="9"/>
  <c r="K35" i="13" s="1"/>
  <c r="Q42" i="9"/>
  <c r="K41" i="13" s="1"/>
  <c r="Q48" i="9"/>
  <c r="K47" i="13" s="1"/>
  <c r="Q54" i="9"/>
  <c r="K53" i="13" s="1"/>
  <c r="Q60" i="9"/>
  <c r="K59" i="13" s="1"/>
  <c r="Q64" i="9"/>
  <c r="K63" i="13" s="1"/>
  <c r="Q69" i="9"/>
  <c r="K68" i="13" s="1"/>
  <c r="Q75" i="9"/>
  <c r="K74" i="13" s="1"/>
  <c r="Q82" i="9"/>
  <c r="K81" i="13" s="1"/>
  <c r="Q88" i="9"/>
  <c r="K87" i="13" s="1"/>
  <c r="Q95" i="9"/>
  <c r="K93" i="13" s="1"/>
  <c r="Q102" i="9"/>
  <c r="K100" i="13" s="1"/>
  <c r="Q108" i="9"/>
  <c r="K106" i="13" s="1"/>
  <c r="Q114" i="9"/>
  <c r="K112" i="13" s="1"/>
  <c r="Q119" i="9"/>
  <c r="K117" i="13" s="1"/>
  <c r="Q124" i="9"/>
  <c r="D8" i="9"/>
  <c r="C7" i="13" s="1"/>
  <c r="D9" i="9"/>
  <c r="C8" i="13" s="1"/>
  <c r="D10" i="9"/>
  <c r="C9" i="13" s="1"/>
  <c r="D11" i="9"/>
  <c r="C10" i="13" s="1"/>
  <c r="D12" i="9"/>
  <c r="C11" i="13" s="1"/>
  <c r="D13" i="9"/>
  <c r="C12" i="13" s="1"/>
  <c r="D14" i="9"/>
  <c r="C13" i="13" s="1"/>
  <c r="D15" i="9"/>
  <c r="C14" i="13" s="1"/>
  <c r="D16" i="9"/>
  <c r="C15" i="13" s="1"/>
  <c r="D17" i="9"/>
  <c r="C16" i="13" s="1"/>
  <c r="D18" i="9"/>
  <c r="C17" i="13" s="1"/>
  <c r="D19" i="9"/>
  <c r="C18" i="13" s="1"/>
  <c r="D20" i="9"/>
  <c r="C19" i="13" s="1"/>
  <c r="D21" i="9"/>
  <c r="C20" i="13" s="1"/>
  <c r="D22" i="9"/>
  <c r="C21" i="13" s="1"/>
  <c r="D23" i="9"/>
  <c r="C22" i="13" s="1"/>
  <c r="D24" i="9"/>
  <c r="C23" i="13" s="1"/>
  <c r="D25" i="9"/>
  <c r="C24" i="13" s="1"/>
  <c r="D26" i="9"/>
  <c r="C25" i="13" s="1"/>
  <c r="D27" i="9"/>
  <c r="C26" i="13" s="1"/>
  <c r="D28" i="9"/>
  <c r="C27" i="13" s="1"/>
  <c r="D29" i="9"/>
  <c r="C28" i="13" s="1"/>
  <c r="D30" i="9"/>
  <c r="C29" i="13" s="1"/>
  <c r="D31" i="9"/>
  <c r="C30" i="13" s="1"/>
  <c r="D32" i="9"/>
  <c r="C31" i="13" s="1"/>
  <c r="D33" i="9"/>
  <c r="C32" i="13" s="1"/>
  <c r="D34" i="9"/>
  <c r="C33" i="13" s="1"/>
  <c r="D35" i="9"/>
  <c r="C34" i="13" s="1"/>
  <c r="D36" i="9"/>
  <c r="C35" i="13" s="1"/>
  <c r="D37" i="9"/>
  <c r="C36" i="13" s="1"/>
  <c r="D38" i="9"/>
  <c r="C37" i="13" s="1"/>
  <c r="D39" i="9"/>
  <c r="C38" i="13" s="1"/>
  <c r="D40" i="9"/>
  <c r="C39" i="13" s="1"/>
  <c r="D41" i="9"/>
  <c r="C40" i="13" s="1"/>
  <c r="D42" i="9"/>
  <c r="C41" i="13" s="1"/>
  <c r="D43" i="9"/>
  <c r="C42" i="13" s="1"/>
  <c r="D44" i="9"/>
  <c r="C43" i="13" s="1"/>
  <c r="D45" i="9"/>
  <c r="C44" i="13" s="1"/>
  <c r="D46" i="9"/>
  <c r="C45" i="13" s="1"/>
  <c r="D47" i="9"/>
  <c r="C46" i="13" s="1"/>
  <c r="D48" i="9"/>
  <c r="C47" i="13" s="1"/>
  <c r="D49" i="9"/>
  <c r="C48" i="13" s="1"/>
  <c r="D50" i="9"/>
  <c r="C49" i="13" s="1"/>
  <c r="D51" i="9"/>
  <c r="C50" i="13" s="1"/>
  <c r="D52" i="9"/>
  <c r="C51" i="13" s="1"/>
  <c r="D53" i="9"/>
  <c r="C52" i="13" s="1"/>
  <c r="D54" i="9"/>
  <c r="C53" i="13" s="1"/>
  <c r="D55" i="9"/>
  <c r="C54" i="13" s="1"/>
  <c r="D56" i="9"/>
  <c r="C55" i="13" s="1"/>
  <c r="D57" i="9"/>
  <c r="C56" i="13" s="1"/>
  <c r="D58" i="9"/>
  <c r="C57" i="13" s="1"/>
  <c r="D59" i="9"/>
  <c r="C58" i="13" s="1"/>
  <c r="D60" i="9"/>
  <c r="C59" i="13" s="1"/>
  <c r="D61" i="9"/>
  <c r="C60" i="13" s="1"/>
  <c r="D62" i="9"/>
  <c r="C61" i="13" s="1"/>
  <c r="D63" i="9"/>
  <c r="C62" i="13" s="1"/>
  <c r="D64" i="9"/>
  <c r="C63" i="13" s="1"/>
  <c r="D65" i="9"/>
  <c r="C64" i="13" s="1"/>
  <c r="D66" i="9"/>
  <c r="C65" i="13" s="1"/>
  <c r="D67" i="9"/>
  <c r="C66" i="13" s="1"/>
  <c r="D68" i="9"/>
  <c r="C67" i="13" s="1"/>
  <c r="D69" i="9"/>
  <c r="C68" i="13" s="1"/>
  <c r="D70" i="9"/>
  <c r="C69" i="13" s="1"/>
  <c r="D71" i="9"/>
  <c r="C70" i="13" s="1"/>
  <c r="D72" i="9"/>
  <c r="C71" i="13" s="1"/>
  <c r="D73" i="9"/>
  <c r="C72" i="13" s="1"/>
  <c r="D74" i="9"/>
  <c r="C73" i="13" s="1"/>
  <c r="D75" i="9"/>
  <c r="C74" i="13" s="1"/>
  <c r="D76" i="9"/>
  <c r="C75" i="13" s="1"/>
  <c r="D77" i="9"/>
  <c r="C76" i="13" s="1"/>
  <c r="D78" i="9"/>
  <c r="C77" i="13" s="1"/>
  <c r="D79" i="9"/>
  <c r="C78" i="13" s="1"/>
  <c r="D80" i="9"/>
  <c r="C79" i="13" s="1"/>
  <c r="D81" i="9"/>
  <c r="C80" i="13" s="1"/>
  <c r="D82" i="9"/>
  <c r="C81" i="13" s="1"/>
  <c r="D83" i="9"/>
  <c r="C82" i="13" s="1"/>
  <c r="D84" i="9"/>
  <c r="C83" i="13" s="1"/>
  <c r="D85" i="9"/>
  <c r="C84" i="13" s="1"/>
  <c r="D86" i="9"/>
  <c r="C85" i="13" s="1"/>
  <c r="D87" i="9"/>
  <c r="C86" i="13" s="1"/>
  <c r="D88" i="9"/>
  <c r="C87" i="13" s="1"/>
  <c r="D89" i="9"/>
  <c r="C88" i="13" s="1"/>
  <c r="D90" i="9"/>
  <c r="C89" i="13" s="1"/>
  <c r="D91" i="9"/>
  <c r="C90" i="13" s="1"/>
  <c r="D92" i="9"/>
  <c r="C91" i="13" s="1"/>
  <c r="D93" i="9"/>
  <c r="C92" i="13" s="1"/>
  <c r="D95" i="9"/>
  <c r="C93" i="13" s="1"/>
  <c r="D96" i="9"/>
  <c r="C94" i="13" s="1"/>
  <c r="D97" i="9"/>
  <c r="C95" i="13" s="1"/>
  <c r="D98" i="9"/>
  <c r="C96" i="13" s="1"/>
  <c r="D99" i="9"/>
  <c r="C97" i="13" s="1"/>
  <c r="D100" i="9"/>
  <c r="C98" i="13" s="1"/>
  <c r="D102" i="9"/>
  <c r="C100" i="13" s="1"/>
  <c r="D103" i="9"/>
  <c r="C101" i="13" s="1"/>
  <c r="D104" i="9"/>
  <c r="C102" i="13" s="1"/>
  <c r="D105" i="9"/>
  <c r="C103" i="13" s="1"/>
  <c r="D106" i="9"/>
  <c r="C104" i="13" s="1"/>
  <c r="D107" i="9"/>
  <c r="C105" i="13" s="1"/>
  <c r="D108" i="9"/>
  <c r="C106" i="13" s="1"/>
  <c r="D109" i="9"/>
  <c r="C107" i="13" s="1"/>
  <c r="D110" i="9"/>
  <c r="C108" i="13" s="1"/>
  <c r="D111" i="9"/>
  <c r="C109" i="13" s="1"/>
  <c r="D112" i="9"/>
  <c r="C110" i="13" s="1"/>
  <c r="D113" i="9"/>
  <c r="C111" i="13" s="1"/>
  <c r="D114" i="9"/>
  <c r="C112" i="13" s="1"/>
  <c r="D115" i="9"/>
  <c r="C113" i="13" s="1"/>
  <c r="D116" i="9"/>
  <c r="C114" i="13" s="1"/>
  <c r="D117" i="9"/>
  <c r="C115" i="13" s="1"/>
  <c r="D118" i="9"/>
  <c r="C116" i="13" s="1"/>
  <c r="D119" i="9"/>
  <c r="C117" i="13" s="1"/>
  <c r="D120" i="9"/>
  <c r="C118" i="13" s="1"/>
  <c r="D121" i="9"/>
  <c r="C119" i="13" s="1"/>
  <c r="D122" i="9"/>
  <c r="C120" i="13" s="1"/>
  <c r="D123" i="9"/>
  <c r="C121" i="13" s="1"/>
  <c r="D124" i="9"/>
  <c r="D7" i="9"/>
  <c r="C6" i="13" s="1"/>
  <c r="K29" i="9"/>
  <c r="L29" i="9"/>
  <c r="K36" i="9"/>
  <c r="L36" i="9"/>
  <c r="K42" i="9"/>
  <c r="L42" i="9"/>
  <c r="K48" i="9"/>
  <c r="L48" i="9"/>
  <c r="K54" i="9"/>
  <c r="L54" i="9"/>
  <c r="K60" i="9"/>
  <c r="L60" i="9"/>
  <c r="K64" i="9"/>
  <c r="L64" i="9"/>
  <c r="K69" i="9"/>
  <c r="L69" i="9"/>
  <c r="K75" i="9"/>
  <c r="L75" i="9"/>
  <c r="K82" i="9"/>
  <c r="L82" i="9"/>
  <c r="K88" i="9"/>
  <c r="L88" i="9"/>
  <c r="K95" i="9"/>
  <c r="L95" i="9"/>
  <c r="K102" i="9"/>
  <c r="L102" i="9"/>
  <c r="K108" i="9"/>
  <c r="L108" i="9"/>
  <c r="K114" i="9"/>
  <c r="L114" i="9"/>
  <c r="K119" i="9"/>
  <c r="L119" i="9"/>
  <c r="K124" i="9"/>
  <c r="L124" i="9"/>
  <c r="K23" i="9"/>
  <c r="L23" i="9"/>
  <c r="K13" i="9"/>
  <c r="L13" i="9"/>
  <c r="K18" i="9"/>
  <c r="L18" i="9"/>
  <c r="X166" i="3"/>
  <c r="X165" i="3"/>
  <c r="J126" i="3"/>
  <c r="J66" i="3"/>
  <c r="J138" i="3"/>
  <c r="J36" i="3"/>
  <c r="J78" i="3"/>
  <c r="J149" i="3"/>
  <c r="J144" i="3"/>
  <c r="J108" i="3"/>
  <c r="J102" i="3"/>
  <c r="J96" i="3"/>
  <c r="J90" i="3"/>
  <c r="J18" i="9"/>
  <c r="M18" i="9"/>
  <c r="G17" i="13" s="1"/>
  <c r="N18" i="9"/>
  <c r="H17" i="13" s="1"/>
  <c r="O18" i="9"/>
  <c r="I17" i="13" s="1"/>
  <c r="J23" i="9"/>
  <c r="M23" i="9"/>
  <c r="G22" i="13" s="1"/>
  <c r="N23" i="9"/>
  <c r="H22" i="13" s="1"/>
  <c r="O23" i="9"/>
  <c r="I22" i="13" s="1"/>
  <c r="J36" i="9"/>
  <c r="M36" i="9"/>
  <c r="G35" i="13" s="1"/>
  <c r="N36" i="9"/>
  <c r="H35" i="13" s="1"/>
  <c r="O36" i="9"/>
  <c r="I35" i="13" s="1"/>
  <c r="J42" i="9"/>
  <c r="M42" i="9"/>
  <c r="G41" i="13" s="1"/>
  <c r="N42" i="9"/>
  <c r="H41" i="13" s="1"/>
  <c r="O42" i="9"/>
  <c r="I41" i="13" s="1"/>
  <c r="J64" i="9"/>
  <c r="M64" i="9"/>
  <c r="G63" i="13" s="1"/>
  <c r="N64" i="9"/>
  <c r="H63" i="13" s="1"/>
  <c r="O64" i="9"/>
  <c r="E64" i="9" s="1"/>
  <c r="D63" i="13" s="1"/>
  <c r="J69" i="9"/>
  <c r="M69" i="9"/>
  <c r="G68" i="13" s="1"/>
  <c r="N69" i="9"/>
  <c r="H68" i="13" s="1"/>
  <c r="O69" i="9"/>
  <c r="J82" i="9"/>
  <c r="M82" i="9"/>
  <c r="G81" i="13" s="1"/>
  <c r="N82" i="9"/>
  <c r="H81" i="13" s="1"/>
  <c r="O82" i="9"/>
  <c r="E82" i="9" s="1"/>
  <c r="D81" i="13" s="1"/>
  <c r="J88" i="9"/>
  <c r="M88" i="9"/>
  <c r="G87" i="13" s="1"/>
  <c r="N88" i="9"/>
  <c r="H87" i="13" s="1"/>
  <c r="O88" i="9"/>
  <c r="J95" i="9"/>
  <c r="M95" i="9"/>
  <c r="G93" i="13" s="1"/>
  <c r="N95" i="9"/>
  <c r="H93" i="13" s="1"/>
  <c r="O95" i="9"/>
  <c r="J108" i="9"/>
  <c r="M108" i="9"/>
  <c r="G106" i="13" s="1"/>
  <c r="N108" i="9"/>
  <c r="H106" i="13" s="1"/>
  <c r="O108" i="9"/>
  <c r="E108" i="9" s="1"/>
  <c r="D106" i="13" s="1"/>
  <c r="J114" i="9"/>
  <c r="M114" i="9"/>
  <c r="G112" i="13" s="1"/>
  <c r="N114" i="9"/>
  <c r="H112" i="13" s="1"/>
  <c r="O114" i="9"/>
  <c r="J124" i="9"/>
  <c r="M124" i="9"/>
  <c r="N124" i="9"/>
  <c r="O124" i="9"/>
  <c r="E124" i="9" s="1"/>
  <c r="H108" i="9"/>
  <c r="E106" i="13" s="1"/>
  <c r="I108" i="9"/>
  <c r="F106" i="13" s="1"/>
  <c r="H114" i="9"/>
  <c r="E112" i="13" s="1"/>
  <c r="I114" i="9"/>
  <c r="F112" i="13" s="1"/>
  <c r="H124" i="9"/>
  <c r="I124" i="9"/>
  <c r="H64" i="9"/>
  <c r="E63" i="13" s="1"/>
  <c r="I64" i="9"/>
  <c r="F63" i="13" s="1"/>
  <c r="H69" i="9"/>
  <c r="E68" i="13" s="1"/>
  <c r="I69" i="9"/>
  <c r="F68" i="13" s="1"/>
  <c r="H82" i="9"/>
  <c r="E81" i="13" s="1"/>
  <c r="I82" i="9"/>
  <c r="F81" i="13" s="1"/>
  <c r="H88" i="9"/>
  <c r="E87" i="13" s="1"/>
  <c r="I88" i="9"/>
  <c r="F87" i="13" s="1"/>
  <c r="H95" i="9"/>
  <c r="E93" i="13" s="1"/>
  <c r="I95" i="9"/>
  <c r="F93" i="13" s="1"/>
  <c r="H42" i="9"/>
  <c r="E41" i="13" s="1"/>
  <c r="I42" i="9"/>
  <c r="F41" i="13" s="1"/>
  <c r="H36" i="9"/>
  <c r="E35" i="13" s="1"/>
  <c r="I36" i="9"/>
  <c r="F35" i="13" s="1"/>
  <c r="W182" i="3"/>
  <c r="W176" i="3"/>
  <c r="D178" i="3"/>
  <c r="F178" i="3" s="1"/>
  <c r="E176" i="3"/>
  <c r="J177" i="3"/>
  <c r="L177" i="3"/>
  <c r="M177" i="3"/>
  <c r="J178" i="3"/>
  <c r="L178" i="3"/>
  <c r="M178" i="3"/>
  <c r="C179" i="3"/>
  <c r="D179" i="3"/>
  <c r="E179" i="3" s="1"/>
  <c r="J179" i="3"/>
  <c r="L179" i="3"/>
  <c r="M179" i="3"/>
  <c r="O179" i="3"/>
  <c r="C180" i="3"/>
  <c r="D180" i="3"/>
  <c r="F180" i="3" s="1"/>
  <c r="J180" i="3"/>
  <c r="L180" i="3"/>
  <c r="M180" i="3"/>
  <c r="O180" i="3"/>
  <c r="C181" i="3"/>
  <c r="D181" i="3"/>
  <c r="E181" i="3" s="1"/>
  <c r="J181" i="3"/>
  <c r="L181" i="3"/>
  <c r="M181" i="3"/>
  <c r="O181" i="3"/>
  <c r="A30" i="2"/>
  <c r="D30" i="2"/>
  <c r="E30" i="2"/>
  <c r="O7" i="5"/>
  <c r="P7" i="5"/>
  <c r="O8" i="5"/>
  <c r="P8" i="5"/>
  <c r="O9" i="5"/>
  <c r="P9" i="5"/>
  <c r="O10" i="5"/>
  <c r="P10" i="5"/>
  <c r="O11" i="5"/>
  <c r="P11" i="5"/>
  <c r="O12" i="5"/>
  <c r="P12" i="5"/>
  <c r="O13" i="5"/>
  <c r="P13" i="5"/>
  <c r="O14" i="5"/>
  <c r="P14" i="5"/>
  <c r="O15" i="5"/>
  <c r="P15" i="5"/>
  <c r="O16" i="5"/>
  <c r="P16" i="5"/>
  <c r="O17" i="5"/>
  <c r="P17" i="5"/>
  <c r="O18" i="5"/>
  <c r="P18" i="5"/>
  <c r="O19" i="5"/>
  <c r="P19" i="5"/>
  <c r="O20" i="5"/>
  <c r="P20" i="5"/>
  <c r="O21" i="5"/>
  <c r="P21" i="5"/>
  <c r="O22" i="5"/>
  <c r="P22" i="5"/>
  <c r="O23" i="5"/>
  <c r="P23" i="5"/>
  <c r="O24" i="5"/>
  <c r="P24" i="5"/>
  <c r="O25" i="5"/>
  <c r="P25" i="5"/>
  <c r="O26" i="5"/>
  <c r="P26" i="5"/>
  <c r="O27" i="5"/>
  <c r="P27" i="5"/>
  <c r="O28" i="5"/>
  <c r="P28" i="5"/>
  <c r="O29" i="5"/>
  <c r="P29" i="5"/>
  <c r="O30" i="5"/>
  <c r="P30" i="5"/>
  <c r="O31" i="5"/>
  <c r="P31" i="5"/>
  <c r="D18" i="12"/>
  <c r="F18" i="12" s="1"/>
  <c r="D17" i="12"/>
  <c r="F17" i="12" s="1"/>
  <c r="D16" i="12"/>
  <c r="F16" i="12" s="1"/>
  <c r="D15" i="12"/>
  <c r="F15" i="12" s="1"/>
  <c r="D14" i="12"/>
  <c r="G14" i="12" s="1"/>
  <c r="D15" i="3"/>
  <c r="D16" i="3"/>
  <c r="D17" i="3"/>
  <c r="D18" i="3"/>
  <c r="D19" i="3"/>
  <c r="D9" i="12"/>
  <c r="E9" i="12" s="1"/>
  <c r="D10" i="12"/>
  <c r="E10" i="12" s="1"/>
  <c r="D11" i="12"/>
  <c r="F11" i="12" s="1"/>
  <c r="D12" i="12"/>
  <c r="F12" i="12" s="1"/>
  <c r="D8" i="12"/>
  <c r="E8" i="12" s="1"/>
  <c r="D9" i="3"/>
  <c r="E9" i="3" s="1"/>
  <c r="E139" i="12"/>
  <c r="E133" i="12"/>
  <c r="E127" i="12"/>
  <c r="E121" i="12"/>
  <c r="E115" i="12"/>
  <c r="E109" i="12"/>
  <c r="E103" i="12"/>
  <c r="E91" i="12"/>
  <c r="E85" i="12"/>
  <c r="E73" i="12"/>
  <c r="E67" i="12"/>
  <c r="E61" i="12"/>
  <c r="E55" i="12"/>
  <c r="E49" i="12"/>
  <c r="E43" i="12"/>
  <c r="E37" i="12"/>
  <c r="E31" i="12"/>
  <c r="E25" i="12"/>
  <c r="E19" i="12"/>
  <c r="E13" i="12"/>
  <c r="E7" i="12"/>
  <c r="O144" i="12"/>
  <c r="M144" i="12"/>
  <c r="L144" i="12"/>
  <c r="J144" i="12"/>
  <c r="C144" i="12"/>
  <c r="O143" i="12"/>
  <c r="M143" i="12"/>
  <c r="L143" i="12"/>
  <c r="J143" i="12"/>
  <c r="C143" i="12"/>
  <c r="M142" i="12"/>
  <c r="L142" i="12"/>
  <c r="J142" i="12"/>
  <c r="M141" i="12"/>
  <c r="L141" i="12"/>
  <c r="J141" i="12"/>
  <c r="H141" i="12"/>
  <c r="M140" i="12"/>
  <c r="L140" i="12"/>
  <c r="J140" i="12"/>
  <c r="H140" i="12"/>
  <c r="V139" i="12"/>
  <c r="O138" i="12"/>
  <c r="M138" i="12"/>
  <c r="L138" i="12"/>
  <c r="J138" i="12"/>
  <c r="C138" i="12"/>
  <c r="M137" i="12"/>
  <c r="L137" i="12"/>
  <c r="J137" i="12"/>
  <c r="M136" i="12"/>
  <c r="L136" i="12"/>
  <c r="J136" i="12"/>
  <c r="M135" i="12"/>
  <c r="L135" i="12"/>
  <c r="J135" i="12"/>
  <c r="M134" i="12"/>
  <c r="L134" i="12"/>
  <c r="J134" i="12"/>
  <c r="V133" i="12"/>
  <c r="O132" i="12"/>
  <c r="M132" i="12"/>
  <c r="L132" i="12"/>
  <c r="J132" i="12"/>
  <c r="H132" i="12"/>
  <c r="C132" i="12"/>
  <c r="M131" i="12"/>
  <c r="L131" i="12"/>
  <c r="J131" i="12"/>
  <c r="M130" i="12"/>
  <c r="L130" i="12"/>
  <c r="J130" i="12"/>
  <c r="M129" i="12"/>
  <c r="L129" i="12"/>
  <c r="J129" i="12"/>
  <c r="M128" i="12"/>
  <c r="L128" i="12"/>
  <c r="J128" i="12"/>
  <c r="V127" i="12"/>
  <c r="O126" i="12"/>
  <c r="M126" i="12"/>
  <c r="L126" i="12"/>
  <c r="J126" i="12"/>
  <c r="H126" i="12"/>
  <c r="C126" i="12"/>
  <c r="M125" i="12"/>
  <c r="L125" i="12"/>
  <c r="J125" i="12"/>
  <c r="H125" i="12"/>
  <c r="M124" i="12"/>
  <c r="L124" i="12"/>
  <c r="J124" i="12"/>
  <c r="H124" i="12"/>
  <c r="M123" i="12"/>
  <c r="L123" i="12"/>
  <c r="J123" i="12"/>
  <c r="M122" i="12"/>
  <c r="L122" i="12"/>
  <c r="J122" i="12"/>
  <c r="V121" i="12"/>
  <c r="O120" i="12"/>
  <c r="M120" i="12"/>
  <c r="L120" i="12"/>
  <c r="J120" i="12"/>
  <c r="H120" i="12"/>
  <c r="C120" i="12"/>
  <c r="M119" i="12"/>
  <c r="L119" i="12"/>
  <c r="J119" i="12"/>
  <c r="H119" i="12"/>
  <c r="M118" i="12"/>
  <c r="L118" i="12"/>
  <c r="J118" i="12"/>
  <c r="H118" i="12"/>
  <c r="M117" i="12"/>
  <c r="L117" i="12"/>
  <c r="J117" i="12"/>
  <c r="M116" i="12"/>
  <c r="L116" i="12"/>
  <c r="J116" i="12"/>
  <c r="V115" i="12"/>
  <c r="O114" i="12"/>
  <c r="M114" i="12"/>
  <c r="L114" i="12"/>
  <c r="J114" i="12"/>
  <c r="H114" i="12"/>
  <c r="C114" i="12"/>
  <c r="O113" i="12"/>
  <c r="M113" i="12"/>
  <c r="L113" i="12"/>
  <c r="J113" i="12"/>
  <c r="H113" i="12"/>
  <c r="M112" i="12"/>
  <c r="L112" i="12"/>
  <c r="J112" i="12"/>
  <c r="H112" i="12"/>
  <c r="M111" i="12"/>
  <c r="L111" i="12"/>
  <c r="J111" i="12"/>
  <c r="M110" i="12"/>
  <c r="L110" i="12"/>
  <c r="J110" i="12"/>
  <c r="H110" i="12"/>
  <c r="V109" i="12"/>
  <c r="O108" i="12"/>
  <c r="M108" i="12"/>
  <c r="L108" i="12"/>
  <c r="J108" i="12"/>
  <c r="C108" i="12"/>
  <c r="M107" i="12"/>
  <c r="L107" i="12"/>
  <c r="J107" i="12"/>
  <c r="M106" i="12"/>
  <c r="L106" i="12"/>
  <c r="J106" i="12"/>
  <c r="H106" i="12"/>
  <c r="M105" i="12"/>
  <c r="L105" i="12"/>
  <c r="J105" i="12"/>
  <c r="M104" i="12"/>
  <c r="L104" i="12"/>
  <c r="J104" i="12"/>
  <c r="V103" i="12"/>
  <c r="O102" i="12"/>
  <c r="M102" i="12"/>
  <c r="L102" i="12"/>
  <c r="J102" i="12"/>
  <c r="C102" i="12"/>
  <c r="O101" i="12"/>
  <c r="M101" i="12"/>
  <c r="L101" i="12"/>
  <c r="J101" i="12"/>
  <c r="H101" i="12"/>
  <c r="M100" i="12"/>
  <c r="L100" i="12"/>
  <c r="J100" i="12"/>
  <c r="H100" i="12"/>
  <c r="M99" i="12"/>
  <c r="L99" i="12"/>
  <c r="J99" i="12"/>
  <c r="H99" i="12"/>
  <c r="M98" i="12"/>
  <c r="L98" i="12"/>
  <c r="J98" i="12"/>
  <c r="V97" i="12"/>
  <c r="O96" i="12"/>
  <c r="M96" i="12"/>
  <c r="L96" i="12"/>
  <c r="J96" i="12"/>
  <c r="C96" i="12"/>
  <c r="M95" i="12"/>
  <c r="L95" i="12"/>
  <c r="J95" i="12"/>
  <c r="M94" i="12"/>
  <c r="L94" i="12"/>
  <c r="J94" i="12"/>
  <c r="M93" i="12"/>
  <c r="L93" i="12"/>
  <c r="J93" i="12"/>
  <c r="M92" i="12"/>
  <c r="L92" i="12"/>
  <c r="J92" i="12"/>
  <c r="V91" i="12"/>
  <c r="O90" i="12"/>
  <c r="M90" i="12"/>
  <c r="L90" i="12"/>
  <c r="J90" i="12"/>
  <c r="C90" i="12"/>
  <c r="M89" i="12"/>
  <c r="L89" i="12"/>
  <c r="J89" i="12"/>
  <c r="H89" i="12"/>
  <c r="M88" i="12"/>
  <c r="L88" i="12"/>
  <c r="J88" i="12"/>
  <c r="M87" i="12"/>
  <c r="L87" i="12"/>
  <c r="J87" i="12"/>
  <c r="M86" i="12"/>
  <c r="L86" i="12"/>
  <c r="J86" i="12"/>
  <c r="O86" i="12"/>
  <c r="V85" i="12"/>
  <c r="O84" i="12"/>
  <c r="M84" i="12"/>
  <c r="L84" i="12"/>
  <c r="H84" i="12"/>
  <c r="C84" i="12"/>
  <c r="O83" i="12"/>
  <c r="M83" i="12"/>
  <c r="L83" i="12"/>
  <c r="J83" i="12"/>
  <c r="H83" i="12"/>
  <c r="M82" i="12"/>
  <c r="L82" i="12"/>
  <c r="J82" i="12"/>
  <c r="M81" i="12"/>
  <c r="L81" i="12"/>
  <c r="J81" i="12"/>
  <c r="M80" i="12"/>
  <c r="L80" i="12"/>
  <c r="J80" i="12"/>
  <c r="V79" i="12"/>
  <c r="O78" i="12"/>
  <c r="M78" i="12"/>
  <c r="L78" i="12"/>
  <c r="J78" i="12"/>
  <c r="H78" i="12"/>
  <c r="C78" i="12"/>
  <c r="O77" i="12"/>
  <c r="M77" i="12"/>
  <c r="L77" i="12"/>
  <c r="J77" i="12"/>
  <c r="H77" i="12"/>
  <c r="M76" i="12"/>
  <c r="L76" i="12"/>
  <c r="J76" i="12"/>
  <c r="H76" i="12"/>
  <c r="M75" i="12"/>
  <c r="L75" i="12"/>
  <c r="J75" i="12"/>
  <c r="H75" i="12"/>
  <c r="M74" i="12"/>
  <c r="L74" i="12"/>
  <c r="J74" i="12"/>
  <c r="V73" i="12"/>
  <c r="O72" i="12"/>
  <c r="M72" i="12"/>
  <c r="L72" i="12"/>
  <c r="J72" i="12"/>
  <c r="H72" i="12"/>
  <c r="C72" i="12"/>
  <c r="O71" i="12"/>
  <c r="M71" i="12"/>
  <c r="L71" i="12"/>
  <c r="J71" i="12"/>
  <c r="M70" i="12"/>
  <c r="L70" i="12"/>
  <c r="M69" i="12"/>
  <c r="L69" i="12"/>
  <c r="J69" i="12"/>
  <c r="M68" i="12"/>
  <c r="L68" i="12"/>
  <c r="J68" i="12"/>
  <c r="H68" i="12"/>
  <c r="V67" i="12"/>
  <c r="O66" i="12"/>
  <c r="M66" i="12"/>
  <c r="L66" i="12"/>
  <c r="J66" i="12"/>
  <c r="C66" i="12"/>
  <c r="O65" i="12"/>
  <c r="M65" i="12"/>
  <c r="L65" i="12"/>
  <c r="J65" i="12"/>
  <c r="H65" i="12"/>
  <c r="M64" i="12"/>
  <c r="L64" i="12"/>
  <c r="J64" i="12"/>
  <c r="M63" i="12"/>
  <c r="L63" i="12"/>
  <c r="J63" i="12"/>
  <c r="H63" i="12"/>
  <c r="M62" i="12"/>
  <c r="L62" i="12"/>
  <c r="J62" i="12"/>
  <c r="O62" i="12"/>
  <c r="V61" i="12"/>
  <c r="O60" i="12"/>
  <c r="M60" i="12"/>
  <c r="L60" i="12"/>
  <c r="J60" i="12"/>
  <c r="C60" i="12"/>
  <c r="O59" i="12"/>
  <c r="M59" i="12"/>
  <c r="L59" i="12"/>
  <c r="J59" i="12"/>
  <c r="L58" i="12"/>
  <c r="J58" i="12"/>
  <c r="M57" i="12"/>
  <c r="L57" i="12"/>
  <c r="J57" i="12"/>
  <c r="M56" i="12"/>
  <c r="L56" i="12"/>
  <c r="J56" i="12"/>
  <c r="H56" i="12"/>
  <c r="V55" i="12"/>
  <c r="O54" i="12"/>
  <c r="M54" i="12"/>
  <c r="L54" i="12"/>
  <c r="J54" i="12"/>
  <c r="C54" i="12"/>
  <c r="O53" i="12"/>
  <c r="M53" i="12"/>
  <c r="L53" i="12"/>
  <c r="J53" i="12"/>
  <c r="M52" i="12"/>
  <c r="L52" i="12"/>
  <c r="J52" i="12"/>
  <c r="M51" i="12"/>
  <c r="L51" i="12"/>
  <c r="J51" i="12"/>
  <c r="M50" i="12"/>
  <c r="L50" i="12"/>
  <c r="J50" i="12"/>
  <c r="O50" i="12"/>
  <c r="V49" i="12"/>
  <c r="O48" i="12"/>
  <c r="M48" i="12"/>
  <c r="L48" i="12"/>
  <c r="J48" i="12"/>
  <c r="C48" i="12"/>
  <c r="O47" i="12"/>
  <c r="M47" i="12"/>
  <c r="L47" i="12"/>
  <c r="J47" i="12"/>
  <c r="M46" i="12"/>
  <c r="L46" i="12"/>
  <c r="J46" i="12"/>
  <c r="M45" i="12"/>
  <c r="L45" i="12"/>
  <c r="J45" i="12"/>
  <c r="M44" i="12"/>
  <c r="L44" i="12"/>
  <c r="J44" i="12"/>
  <c r="V43" i="12"/>
  <c r="O42" i="12"/>
  <c r="M42" i="12"/>
  <c r="L42" i="12"/>
  <c r="J42" i="12"/>
  <c r="C42" i="12"/>
  <c r="O41" i="12"/>
  <c r="M41" i="12"/>
  <c r="L41" i="12"/>
  <c r="J41" i="12"/>
  <c r="M40" i="12"/>
  <c r="L40" i="12"/>
  <c r="J40" i="12"/>
  <c r="H40" i="12"/>
  <c r="M39" i="12"/>
  <c r="L39" i="12"/>
  <c r="J39" i="12"/>
  <c r="M38" i="12"/>
  <c r="L38" i="12"/>
  <c r="J38" i="12"/>
  <c r="V37" i="12"/>
  <c r="O36" i="12"/>
  <c r="M36" i="12"/>
  <c r="L36" i="12"/>
  <c r="J36" i="12"/>
  <c r="C36" i="12"/>
  <c r="M35" i="12"/>
  <c r="L35" i="12"/>
  <c r="J35" i="12"/>
  <c r="H35" i="12"/>
  <c r="M34" i="12"/>
  <c r="L34" i="12"/>
  <c r="J34" i="12"/>
  <c r="O34" i="12"/>
  <c r="M33" i="12"/>
  <c r="L33" i="12"/>
  <c r="J33" i="12"/>
  <c r="H33" i="12"/>
  <c r="M32" i="12"/>
  <c r="L32" i="12"/>
  <c r="J32" i="12"/>
  <c r="V31" i="12"/>
  <c r="O30" i="12"/>
  <c r="M30" i="12"/>
  <c r="L30" i="12"/>
  <c r="J30" i="12"/>
  <c r="C30" i="12"/>
  <c r="M29" i="12"/>
  <c r="L29" i="12"/>
  <c r="J29" i="12"/>
  <c r="H29" i="12"/>
  <c r="M28" i="12"/>
  <c r="L28" i="12"/>
  <c r="J28" i="12"/>
  <c r="M27" i="12"/>
  <c r="L27" i="12"/>
  <c r="J27" i="12"/>
  <c r="M26" i="12"/>
  <c r="L26" i="12"/>
  <c r="J26" i="12"/>
  <c r="H26" i="12"/>
  <c r="V25" i="12"/>
  <c r="O24" i="12"/>
  <c r="M24" i="12"/>
  <c r="L24" i="12"/>
  <c r="J24" i="12"/>
  <c r="C24" i="12"/>
  <c r="M23" i="12"/>
  <c r="L23" i="12"/>
  <c r="M22" i="12"/>
  <c r="L22" i="12"/>
  <c r="H22" i="12"/>
  <c r="M21" i="12"/>
  <c r="L21" i="12"/>
  <c r="J21" i="12"/>
  <c r="M20" i="12"/>
  <c r="L20" i="12"/>
  <c r="J20" i="12"/>
  <c r="V19" i="12"/>
  <c r="O18" i="12"/>
  <c r="M18" i="12"/>
  <c r="L18" i="12"/>
  <c r="J18" i="12"/>
  <c r="C18" i="12"/>
  <c r="M17" i="12"/>
  <c r="L17" i="12"/>
  <c r="J17" i="12"/>
  <c r="M16" i="12"/>
  <c r="L16" i="12"/>
  <c r="J16" i="12"/>
  <c r="M15" i="12"/>
  <c r="L15" i="12"/>
  <c r="J15" i="12"/>
  <c r="M14" i="12"/>
  <c r="L14" i="12"/>
  <c r="J14" i="12"/>
  <c r="V13" i="12"/>
  <c r="O12" i="12"/>
  <c r="M12" i="12"/>
  <c r="L12" i="12"/>
  <c r="J12" i="12"/>
  <c r="C12" i="12"/>
  <c r="M11" i="12"/>
  <c r="L11" i="12"/>
  <c r="J11" i="12"/>
  <c r="M10" i="12"/>
  <c r="L10" i="12"/>
  <c r="J10" i="12"/>
  <c r="M9" i="12"/>
  <c r="L9" i="12"/>
  <c r="J9" i="12"/>
  <c r="M8" i="12"/>
  <c r="L8" i="12"/>
  <c r="J8" i="12"/>
  <c r="H18" i="9"/>
  <c r="E17" i="13" s="1"/>
  <c r="H23" i="9"/>
  <c r="E22" i="13" s="1"/>
  <c r="I18" i="9"/>
  <c r="F17" i="13" s="1"/>
  <c r="I23" i="9"/>
  <c r="F22" i="13" s="1"/>
  <c r="W170" i="3"/>
  <c r="W164" i="3"/>
  <c r="D31" i="3"/>
  <c r="D30" i="3"/>
  <c r="D29" i="3"/>
  <c r="D28" i="3"/>
  <c r="D27" i="3"/>
  <c r="O169" i="3"/>
  <c r="M169" i="3"/>
  <c r="L169" i="3"/>
  <c r="O168" i="3"/>
  <c r="M168" i="3"/>
  <c r="L168" i="3"/>
  <c r="O167" i="3"/>
  <c r="M167" i="3"/>
  <c r="L167" i="3"/>
  <c r="M166" i="3"/>
  <c r="L166" i="3"/>
  <c r="M165" i="3"/>
  <c r="L165" i="3"/>
  <c r="J169" i="3"/>
  <c r="J168" i="3"/>
  <c r="J167" i="3"/>
  <c r="J166" i="3"/>
  <c r="J165" i="3"/>
  <c r="C167" i="3"/>
  <c r="C168" i="3"/>
  <c r="C169" i="3"/>
  <c r="D169" i="3"/>
  <c r="F169" i="3" s="1"/>
  <c r="D168" i="3"/>
  <c r="G168" i="3" s="1"/>
  <c r="V168" i="3" s="1"/>
  <c r="D167" i="3"/>
  <c r="G167" i="3" s="1"/>
  <c r="V167" i="3" s="1"/>
  <c r="E164" i="3"/>
  <c r="A29" i="2"/>
  <c r="D166" i="3" s="1"/>
  <c r="E27" i="2"/>
  <c r="E28" i="2"/>
  <c r="E29" i="2"/>
  <c r="E26" i="2"/>
  <c r="D28" i="2"/>
  <c r="D29" i="2"/>
  <c r="D26" i="2"/>
  <c r="D27" i="2"/>
  <c r="C26" i="2"/>
  <c r="A27" i="2"/>
  <c r="A28" i="2"/>
  <c r="A26" i="2"/>
  <c r="O6" i="5"/>
  <c r="P6" i="5"/>
  <c r="D175" i="3"/>
  <c r="F175" i="3" s="1"/>
  <c r="D174" i="3"/>
  <c r="P174" i="3" s="1"/>
  <c r="W174" i="3" s="1"/>
  <c r="D173" i="3"/>
  <c r="D172" i="3"/>
  <c r="D171" i="3"/>
  <c r="H171" i="3" s="1"/>
  <c r="E170" i="3"/>
  <c r="J172" i="3"/>
  <c r="L172" i="3"/>
  <c r="M172" i="3"/>
  <c r="J173" i="3"/>
  <c r="L173" i="3"/>
  <c r="M173" i="3"/>
  <c r="C174" i="3"/>
  <c r="J174" i="3"/>
  <c r="L174" i="3"/>
  <c r="M174" i="3"/>
  <c r="O174" i="3"/>
  <c r="C175" i="3"/>
  <c r="J175" i="3"/>
  <c r="L175" i="3"/>
  <c r="M175" i="3"/>
  <c r="O175" i="3"/>
  <c r="M171" i="3"/>
  <c r="L171" i="3"/>
  <c r="J171" i="3"/>
  <c r="Q119" i="12" l="1"/>
  <c r="O125" i="12"/>
  <c r="R110" i="12"/>
  <c r="C101" i="12"/>
  <c r="R122" i="12"/>
  <c r="H98" i="12"/>
  <c r="R129" i="12"/>
  <c r="Q131" i="12"/>
  <c r="O131" i="12"/>
  <c r="Q125" i="12"/>
  <c r="G98" i="12"/>
  <c r="Q98" i="12" s="1"/>
  <c r="E98" i="12"/>
  <c r="R29" i="5"/>
  <c r="R25" i="5"/>
  <c r="R21" i="5"/>
  <c r="R17" i="5"/>
  <c r="R13" i="5"/>
  <c r="R9" i="5"/>
  <c r="R6" i="5"/>
  <c r="R28" i="5"/>
  <c r="R24" i="5"/>
  <c r="R20" i="5"/>
  <c r="R16" i="5"/>
  <c r="R12" i="5"/>
  <c r="R8" i="5"/>
  <c r="R18" i="5"/>
  <c r="R30" i="5"/>
  <c r="R26" i="5"/>
  <c r="R14" i="5"/>
  <c r="R31" i="5"/>
  <c r="R27" i="5"/>
  <c r="R23" i="5"/>
  <c r="R19" i="5"/>
  <c r="R15" i="5"/>
  <c r="R11" i="5"/>
  <c r="R7" i="5"/>
  <c r="R22" i="5"/>
  <c r="R10" i="5"/>
  <c r="T22" i="5"/>
  <c r="T7" i="5"/>
  <c r="T11" i="5"/>
  <c r="T19" i="5"/>
  <c r="T14" i="5"/>
  <c r="T23" i="5"/>
  <c r="T17" i="5"/>
  <c r="T25" i="5"/>
  <c r="T30" i="5"/>
  <c r="T31" i="5"/>
  <c r="T12" i="5"/>
  <c r="T16" i="5"/>
  <c r="T10" i="5"/>
  <c r="T20" i="5"/>
  <c r="T15" i="5"/>
  <c r="T9" i="5"/>
  <c r="T24" i="5"/>
  <c r="T18" i="5"/>
  <c r="T28" i="5"/>
  <c r="T8" i="5"/>
  <c r="T26" i="5"/>
  <c r="T13" i="5"/>
  <c r="T27" i="5"/>
  <c r="T29" i="5"/>
  <c r="T6" i="5"/>
  <c r="T21" i="5"/>
  <c r="V109" i="16"/>
  <c r="V40" i="16"/>
  <c r="V96" i="16"/>
  <c r="D177" i="3"/>
  <c r="E177" i="3" s="1"/>
  <c r="M25" i="2"/>
  <c r="Q106" i="12"/>
  <c r="R106" i="12"/>
  <c r="Q32" i="12"/>
  <c r="R32" i="12"/>
  <c r="O14" i="12"/>
  <c r="Q14" i="12"/>
  <c r="R14" i="12"/>
  <c r="R124" i="12"/>
  <c r="Q124" i="12"/>
  <c r="Q54" i="12"/>
  <c r="R54" i="12"/>
  <c r="Q51" i="12"/>
  <c r="R51" i="12"/>
  <c r="Q48" i="12"/>
  <c r="R48" i="12"/>
  <c r="Q30" i="12"/>
  <c r="R30" i="12"/>
  <c r="O39" i="12"/>
  <c r="Q39" i="12"/>
  <c r="R39" i="12"/>
  <c r="Q35" i="12"/>
  <c r="R35" i="12"/>
  <c r="Q99" i="12"/>
  <c r="R99" i="12"/>
  <c r="Q27" i="12"/>
  <c r="R27" i="12"/>
  <c r="Q44" i="12"/>
  <c r="R44" i="12"/>
  <c r="Q90" i="12"/>
  <c r="R90" i="12"/>
  <c r="O69" i="12"/>
  <c r="R69" i="12"/>
  <c r="Q69" i="12"/>
  <c r="R112" i="12"/>
  <c r="Q112" i="12"/>
  <c r="R105" i="12"/>
  <c r="Q105" i="12"/>
  <c r="R21" i="12"/>
  <c r="Q21" i="12"/>
  <c r="R45" i="12"/>
  <c r="Q45" i="12"/>
  <c r="O46" i="12"/>
  <c r="Q46" i="12"/>
  <c r="R46" i="12"/>
  <c r="Q94" i="12"/>
  <c r="R94" i="12"/>
  <c r="Q118" i="12"/>
  <c r="R118" i="12"/>
  <c r="O117" i="12"/>
  <c r="R117" i="12"/>
  <c r="Q117" i="12"/>
  <c r="Q84" i="12"/>
  <c r="R84" i="12"/>
  <c r="Q70" i="12"/>
  <c r="R70" i="12"/>
  <c r="Q111" i="12"/>
  <c r="R111" i="12"/>
  <c r="Q52" i="12"/>
  <c r="R52" i="12"/>
  <c r="Q78" i="12"/>
  <c r="R78" i="12"/>
  <c r="Q126" i="12"/>
  <c r="R126" i="12"/>
  <c r="O29" i="12"/>
  <c r="R29" i="12"/>
  <c r="Q29" i="12"/>
  <c r="C35" i="12"/>
  <c r="O95" i="12"/>
  <c r="Q95" i="12"/>
  <c r="R95" i="12"/>
  <c r="R108" i="12"/>
  <c r="Q108" i="12"/>
  <c r="Q74" i="12"/>
  <c r="R74" i="12"/>
  <c r="Q40" i="12"/>
  <c r="R40" i="12"/>
  <c r="Q100" i="12"/>
  <c r="R100" i="12"/>
  <c r="O23" i="12"/>
  <c r="Q23" i="12"/>
  <c r="R23" i="12"/>
  <c r="O35" i="12"/>
  <c r="Q42" i="12"/>
  <c r="R42" i="12"/>
  <c r="Q36" i="12"/>
  <c r="R36" i="12"/>
  <c r="Q60" i="12"/>
  <c r="R60" i="12"/>
  <c r="Q72" i="12"/>
  <c r="R72" i="12"/>
  <c r="Q107" i="12"/>
  <c r="R107" i="12"/>
  <c r="Q102" i="12"/>
  <c r="R102" i="12"/>
  <c r="Q63" i="12"/>
  <c r="R63" i="12"/>
  <c r="R33" i="12"/>
  <c r="Q33" i="12"/>
  <c r="Q66" i="12"/>
  <c r="R66" i="12"/>
  <c r="Q75" i="12"/>
  <c r="R75" i="12"/>
  <c r="Q80" i="12"/>
  <c r="R80" i="12"/>
  <c r="Q87" i="12"/>
  <c r="R87" i="12"/>
  <c r="O89" i="12"/>
  <c r="R89" i="12"/>
  <c r="Q89" i="12"/>
  <c r="Q28" i="12"/>
  <c r="R28" i="12"/>
  <c r="Q76" i="12"/>
  <c r="R76" i="12"/>
  <c r="R93" i="12"/>
  <c r="Q93" i="12"/>
  <c r="O64" i="12"/>
  <c r="Q64" i="12"/>
  <c r="R64" i="12"/>
  <c r="R57" i="12"/>
  <c r="Q57" i="12"/>
  <c r="Q88" i="12"/>
  <c r="R88" i="12"/>
  <c r="Q123" i="12"/>
  <c r="R123" i="12"/>
  <c r="R96" i="12"/>
  <c r="Q96" i="12"/>
  <c r="R120" i="12"/>
  <c r="Q120" i="12"/>
  <c r="O81" i="12"/>
  <c r="R81" i="12"/>
  <c r="Q81" i="12"/>
  <c r="Q24" i="12"/>
  <c r="R24" i="12"/>
  <c r="Q82" i="12"/>
  <c r="R82" i="12"/>
  <c r="R116" i="12"/>
  <c r="Q116" i="12"/>
  <c r="Q144" i="12"/>
  <c r="R144" i="12"/>
  <c r="Q140" i="12"/>
  <c r="R140" i="12"/>
  <c r="Q141" i="12"/>
  <c r="R141" i="12"/>
  <c r="C113" i="12"/>
  <c r="C65" i="12"/>
  <c r="C77" i="12"/>
  <c r="C125" i="12"/>
  <c r="C23" i="12"/>
  <c r="C89" i="12"/>
  <c r="C83" i="12"/>
  <c r="C29" i="12"/>
  <c r="H135" i="12"/>
  <c r="H181" i="3"/>
  <c r="H14" i="12"/>
  <c r="I81" i="13"/>
  <c r="I63" i="13"/>
  <c r="E114" i="9"/>
  <c r="D112" i="13" s="1"/>
  <c r="I112" i="13"/>
  <c r="E95" i="9"/>
  <c r="D93" i="13" s="1"/>
  <c r="I93" i="13"/>
  <c r="I106" i="13"/>
  <c r="E88" i="9"/>
  <c r="D87" i="13" s="1"/>
  <c r="I87" i="13"/>
  <c r="E69" i="9"/>
  <c r="D68" i="13" s="1"/>
  <c r="I68" i="13"/>
  <c r="N125" i="12"/>
  <c r="N129" i="12"/>
  <c r="N180" i="3"/>
  <c r="G181" i="3"/>
  <c r="V181" i="3" s="1"/>
  <c r="F181" i="3"/>
  <c r="E180" i="3"/>
  <c r="H179" i="3"/>
  <c r="P181" i="3"/>
  <c r="W181" i="3" s="1"/>
  <c r="G179" i="3"/>
  <c r="V179" i="3" s="1"/>
  <c r="F179" i="3"/>
  <c r="P179" i="3"/>
  <c r="W179" i="3" s="1"/>
  <c r="N114" i="12"/>
  <c r="N140" i="12"/>
  <c r="N142" i="12"/>
  <c r="N181" i="3"/>
  <c r="N178" i="3"/>
  <c r="N177" i="3"/>
  <c r="N179" i="3"/>
  <c r="E178" i="3"/>
  <c r="H180" i="3"/>
  <c r="G180" i="3"/>
  <c r="V180" i="3" s="1"/>
  <c r="G178" i="3"/>
  <c r="H178" i="3"/>
  <c r="P180" i="3"/>
  <c r="W180" i="3" s="1"/>
  <c r="N143" i="12"/>
  <c r="N168" i="3"/>
  <c r="N112" i="12"/>
  <c r="N137" i="12"/>
  <c r="N60" i="12"/>
  <c r="N76" i="12"/>
  <c r="N108" i="12"/>
  <c r="N18" i="12"/>
  <c r="N32" i="12"/>
  <c r="N59" i="12"/>
  <c r="N63" i="12"/>
  <c r="N72" i="12"/>
  <c r="N107" i="12"/>
  <c r="N111" i="12"/>
  <c r="N138" i="12"/>
  <c r="N167" i="3"/>
  <c r="N78" i="12"/>
  <c r="N144" i="12"/>
  <c r="N141" i="12"/>
  <c r="N12" i="12"/>
  <c r="N77" i="12"/>
  <c r="N116" i="12"/>
  <c r="N118" i="12"/>
  <c r="N136" i="12"/>
  <c r="E18" i="12"/>
  <c r="E17" i="12"/>
  <c r="G18" i="12"/>
  <c r="G17" i="12"/>
  <c r="E14" i="12"/>
  <c r="E16" i="12"/>
  <c r="G16" i="12"/>
  <c r="E15" i="12"/>
  <c r="F14" i="12"/>
  <c r="G15" i="12"/>
  <c r="E12" i="12"/>
  <c r="E11" i="12"/>
  <c r="H12" i="12"/>
  <c r="H11" i="12"/>
  <c r="G12" i="12"/>
  <c r="G11" i="12"/>
  <c r="G8" i="12"/>
  <c r="F10" i="12"/>
  <c r="G10" i="12"/>
  <c r="F9" i="12"/>
  <c r="G9" i="12"/>
  <c r="F8" i="12"/>
  <c r="N88" i="12"/>
  <c r="N9" i="12"/>
  <c r="N17" i="12"/>
  <c r="N30" i="12"/>
  <c r="N126" i="12"/>
  <c r="N132" i="12"/>
  <c r="N11" i="12"/>
  <c r="N75" i="12"/>
  <c r="N98" i="12"/>
  <c r="N131" i="12"/>
  <c r="N42" i="12"/>
  <c r="N48" i="12"/>
  <c r="N64" i="12"/>
  <c r="N83" i="12"/>
  <c r="N87" i="12"/>
  <c r="N96" i="12"/>
  <c r="N8" i="12"/>
  <c r="N10" i="12"/>
  <c r="N20" i="12"/>
  <c r="N45" i="12"/>
  <c r="N89" i="12"/>
  <c r="N122" i="12"/>
  <c r="N33" i="12"/>
  <c r="N52" i="12"/>
  <c r="N84" i="12"/>
  <c r="N113" i="12"/>
  <c r="N134" i="12"/>
  <c r="N56" i="12"/>
  <c r="N90" i="12"/>
  <c r="N104" i="12"/>
  <c r="N123" i="12"/>
  <c r="N26" i="12"/>
  <c r="N68" i="12"/>
  <c r="N70" i="12"/>
  <c r="N102" i="12"/>
  <c r="N38" i="12"/>
  <c r="N47" i="12"/>
  <c r="N51" i="12"/>
  <c r="N57" i="12"/>
  <c r="N66" i="12"/>
  <c r="N80" i="12"/>
  <c r="N82" i="12"/>
  <c r="N95" i="12"/>
  <c r="N101" i="12"/>
  <c r="N36" i="12"/>
  <c r="N65" i="12"/>
  <c r="N94" i="12"/>
  <c r="N130" i="12"/>
  <c r="N21" i="12"/>
  <c r="N27" i="12"/>
  <c r="N40" i="12"/>
  <c r="N44" i="12"/>
  <c r="N54" i="12"/>
  <c r="N62" i="12"/>
  <c r="N81" i="12"/>
  <c r="N128" i="12"/>
  <c r="N135" i="12"/>
  <c r="N50" i="12"/>
  <c r="N74" i="12"/>
  <c r="N92" i="12"/>
  <c r="N119" i="12"/>
  <c r="N35" i="12"/>
  <c r="N39" i="12"/>
  <c r="N28" i="12"/>
  <c r="N58" i="12"/>
  <c r="N105" i="12"/>
  <c r="N14" i="12"/>
  <c r="N24" i="12"/>
  <c r="N34" i="12"/>
  <c r="N69" i="12"/>
  <c r="N71" i="12"/>
  <c r="N86" i="12"/>
  <c r="N93" i="12"/>
  <c r="N100" i="12"/>
  <c r="N120" i="12"/>
  <c r="H87" i="12"/>
  <c r="O105" i="12"/>
  <c r="H45" i="12"/>
  <c r="O99" i="12"/>
  <c r="P18" i="12"/>
  <c r="O33" i="12"/>
  <c r="O63" i="12"/>
  <c r="H70" i="12"/>
  <c r="O28" i="12"/>
  <c r="O116" i="12"/>
  <c r="O92" i="12"/>
  <c r="P78" i="12"/>
  <c r="O70" i="12"/>
  <c r="H15" i="12"/>
  <c r="H36" i="12"/>
  <c r="H69" i="12"/>
  <c r="H38" i="12"/>
  <c r="O56" i="12"/>
  <c r="H86" i="12"/>
  <c r="H93" i="12"/>
  <c r="H117" i="12"/>
  <c r="D165" i="3"/>
  <c r="H165" i="3" s="1"/>
  <c r="H30" i="12"/>
  <c r="H92" i="12"/>
  <c r="O110" i="12"/>
  <c r="H128" i="12"/>
  <c r="O106" i="12"/>
  <c r="H138" i="12"/>
  <c r="H34" i="12"/>
  <c r="H105" i="12"/>
  <c r="H142" i="12"/>
  <c r="H9" i="12"/>
  <c r="H16" i="12"/>
  <c r="O68" i="12"/>
  <c r="H71" i="12"/>
  <c r="C71" i="12" s="1"/>
  <c r="O112" i="12"/>
  <c r="O130" i="12"/>
  <c r="O22" i="12"/>
  <c r="H41" i="12"/>
  <c r="C41" i="12" s="1"/>
  <c r="H48" i="12"/>
  <c r="H107" i="12"/>
  <c r="C107" i="12" s="1"/>
  <c r="O124" i="12"/>
  <c r="H131" i="12"/>
  <c r="C131" i="12" s="1"/>
  <c r="O140" i="12"/>
  <c r="D159" i="3"/>
  <c r="H50" i="12"/>
  <c r="O75" i="12"/>
  <c r="O80" i="12"/>
  <c r="H108" i="12"/>
  <c r="O119" i="12"/>
  <c r="O45" i="12"/>
  <c r="H57" i="12"/>
  <c r="H62" i="12"/>
  <c r="H64" i="12"/>
  <c r="O87" i="12"/>
  <c r="H47" i="12"/>
  <c r="C47" i="12" s="1"/>
  <c r="H32" i="12"/>
  <c r="N16" i="12"/>
  <c r="O20" i="12"/>
  <c r="H58" i="12"/>
  <c r="O58" i="12"/>
  <c r="H82" i="12"/>
  <c r="O82" i="12"/>
  <c r="H17" i="12"/>
  <c r="H20" i="12"/>
  <c r="N22" i="12"/>
  <c r="O26" i="12"/>
  <c r="N46" i="12"/>
  <c r="H52" i="12"/>
  <c r="H59" i="12"/>
  <c r="C59" i="12" s="1"/>
  <c r="H66" i="12"/>
  <c r="O21" i="12"/>
  <c r="O27" i="12"/>
  <c r="O52" i="12"/>
  <c r="H54" i="12"/>
  <c r="H90" i="12"/>
  <c r="H74" i="12"/>
  <c r="O74" i="12"/>
  <c r="O128" i="12"/>
  <c r="H10" i="12"/>
  <c r="H18" i="12"/>
  <c r="H21" i="12"/>
  <c r="N23" i="12"/>
  <c r="H27" i="12"/>
  <c r="N29" i="12"/>
  <c r="H42" i="12"/>
  <c r="H51" i="12"/>
  <c r="O51" i="12"/>
  <c r="H102" i="12"/>
  <c r="H39" i="12"/>
  <c r="H8" i="12"/>
  <c r="N15" i="12"/>
  <c r="H24" i="12"/>
  <c r="O38" i="12"/>
  <c r="N41" i="12"/>
  <c r="H44" i="12"/>
  <c r="O44" i="12"/>
  <c r="N53" i="12"/>
  <c r="O94" i="12"/>
  <c r="H94" i="12"/>
  <c r="H122" i="12"/>
  <c r="O122" i="12"/>
  <c r="H129" i="12"/>
  <c r="O129" i="12"/>
  <c r="H143" i="12"/>
  <c r="H46" i="12"/>
  <c r="H53" i="12"/>
  <c r="C53" i="12" s="1"/>
  <c r="H60" i="12"/>
  <c r="H80" i="12"/>
  <c r="H81" i="12"/>
  <c r="N99" i="12"/>
  <c r="N110" i="12"/>
  <c r="N117" i="12"/>
  <c r="N124" i="12"/>
  <c r="O142" i="12"/>
  <c r="H95" i="12"/>
  <c r="C95" i="12" s="1"/>
  <c r="H88" i="12"/>
  <c r="H96" i="12"/>
  <c r="O104" i="12"/>
  <c r="N106" i="12"/>
  <c r="P72" i="12"/>
  <c r="H111" i="12"/>
  <c r="O111" i="12"/>
  <c r="H104" i="12"/>
  <c r="H116" i="12"/>
  <c r="H123" i="12"/>
  <c r="H130" i="12"/>
  <c r="P132" i="12"/>
  <c r="H144" i="12"/>
  <c r="O118" i="12"/>
  <c r="E166" i="3"/>
  <c r="H166" i="3"/>
  <c r="H167" i="3"/>
  <c r="H168" i="3"/>
  <c r="H169" i="3"/>
  <c r="N169" i="3"/>
  <c r="F168" i="3"/>
  <c r="F167" i="3"/>
  <c r="P167" i="3"/>
  <c r="W167" i="3" s="1"/>
  <c r="P168" i="3"/>
  <c r="W168" i="3" s="1"/>
  <c r="N166" i="3"/>
  <c r="E169" i="3"/>
  <c r="E168" i="3"/>
  <c r="G169" i="3"/>
  <c r="V169" i="3" s="1"/>
  <c r="P169" i="3"/>
  <c r="W169" i="3" s="1"/>
  <c r="E167" i="3"/>
  <c r="N165" i="3"/>
  <c r="G166" i="3"/>
  <c r="F166" i="3"/>
  <c r="N171" i="3"/>
  <c r="N174" i="3"/>
  <c r="G173" i="3"/>
  <c r="F172" i="3"/>
  <c r="N175" i="3"/>
  <c r="N173" i="3"/>
  <c r="E172" i="3"/>
  <c r="H172" i="3"/>
  <c r="E173" i="3"/>
  <c r="H173" i="3"/>
  <c r="F173" i="3"/>
  <c r="H174" i="3"/>
  <c r="H175" i="3"/>
  <c r="N172" i="3"/>
  <c r="G172" i="3"/>
  <c r="V172" i="3" s="1"/>
  <c r="G175" i="3"/>
  <c r="V175" i="3" s="1"/>
  <c r="E174" i="3"/>
  <c r="F174" i="3"/>
  <c r="E175" i="3"/>
  <c r="P175" i="3"/>
  <c r="W175" i="3" s="1"/>
  <c r="G174" i="3"/>
  <c r="V174" i="3" s="1"/>
  <c r="G171" i="3"/>
  <c r="V171" i="3" s="1"/>
  <c r="E171" i="3"/>
  <c r="F171" i="3"/>
  <c r="O98" i="12" l="1"/>
  <c r="R98" i="12"/>
  <c r="G177" i="3"/>
  <c r="Q32" i="5"/>
  <c r="H177" i="3"/>
  <c r="F177" i="3"/>
  <c r="V72" i="12"/>
  <c r="V132" i="12"/>
  <c r="V78" i="12"/>
  <c r="V18" i="12"/>
  <c r="O9" i="12"/>
  <c r="R9" i="12"/>
  <c r="Q9" i="12"/>
  <c r="O10" i="12"/>
  <c r="Q10" i="12"/>
  <c r="R10" i="12"/>
  <c r="Q18" i="12"/>
  <c r="R18" i="12"/>
  <c r="O15" i="12"/>
  <c r="Q15" i="12"/>
  <c r="R15" i="12"/>
  <c r="Q18" i="5"/>
  <c r="O8" i="12"/>
  <c r="R8" i="12"/>
  <c r="Q8" i="12"/>
  <c r="O11" i="12"/>
  <c r="Q11" i="12"/>
  <c r="R11" i="12"/>
  <c r="O17" i="12"/>
  <c r="R17" i="12"/>
  <c r="Q17" i="12"/>
  <c r="Q16" i="5"/>
  <c r="Q12" i="12"/>
  <c r="R12" i="12"/>
  <c r="O16" i="12"/>
  <c r="Q16" i="12"/>
  <c r="R16" i="12"/>
  <c r="Q15" i="5"/>
  <c r="Q29" i="5"/>
  <c r="C11" i="12"/>
  <c r="Q8" i="5"/>
  <c r="Q9" i="5"/>
  <c r="Q24" i="5"/>
  <c r="C17" i="12"/>
  <c r="C14" i="12"/>
  <c r="C16" i="12"/>
  <c r="Q17" i="5"/>
  <c r="C15" i="12"/>
  <c r="F137" i="12"/>
  <c r="E137" i="12"/>
  <c r="G137" i="12"/>
  <c r="E138" i="12"/>
  <c r="F138" i="12"/>
  <c r="G138" i="12"/>
  <c r="E135" i="12"/>
  <c r="F135" i="12"/>
  <c r="G135" i="12"/>
  <c r="E136" i="12"/>
  <c r="G136" i="12"/>
  <c r="F136" i="12"/>
  <c r="H137" i="12"/>
  <c r="H136" i="12"/>
  <c r="E134" i="12"/>
  <c r="G134" i="12"/>
  <c r="F134" i="12"/>
  <c r="H134" i="12"/>
  <c r="Q11" i="5"/>
  <c r="C8" i="12"/>
  <c r="Q7" i="5"/>
  <c r="Q14" i="5"/>
  <c r="O173" i="3"/>
  <c r="V173" i="3"/>
  <c r="O178" i="3"/>
  <c r="V178" i="3"/>
  <c r="O177" i="3"/>
  <c r="V177" i="3"/>
  <c r="C142" i="12"/>
  <c r="C177" i="3"/>
  <c r="C117" i="12"/>
  <c r="F165" i="3"/>
  <c r="P178" i="3"/>
  <c r="W178" i="3" s="1"/>
  <c r="C178" i="3"/>
  <c r="E165" i="3"/>
  <c r="G165" i="3"/>
  <c r="C33" i="12"/>
  <c r="C112" i="12"/>
  <c r="C50" i="12"/>
  <c r="C105" i="12"/>
  <c r="C34" i="12"/>
  <c r="C92" i="12"/>
  <c r="C80" i="12"/>
  <c r="C123" i="12"/>
  <c r="C128" i="12"/>
  <c r="C129" i="12"/>
  <c r="C68" i="12"/>
  <c r="C110" i="12"/>
  <c r="C28" i="12"/>
  <c r="C130" i="12"/>
  <c r="C86" i="12"/>
  <c r="C56" i="12"/>
  <c r="C9" i="12"/>
  <c r="C70" i="12"/>
  <c r="O123" i="12"/>
  <c r="Q19" i="5" s="1"/>
  <c r="C118" i="12"/>
  <c r="C106" i="12"/>
  <c r="C45" i="12"/>
  <c r="C141" i="12"/>
  <c r="C99" i="12"/>
  <c r="C64" i="12"/>
  <c r="C140" i="12"/>
  <c r="C93" i="12"/>
  <c r="C116" i="12"/>
  <c r="C57" i="12"/>
  <c r="C27" i="12"/>
  <c r="C20" i="12"/>
  <c r="C124" i="12"/>
  <c r="C10" i="12"/>
  <c r="C63" i="12"/>
  <c r="C119" i="12"/>
  <c r="C87" i="12"/>
  <c r="C100" i="12"/>
  <c r="C44" i="12"/>
  <c r="C21" i="12"/>
  <c r="C98" i="12"/>
  <c r="C22" i="12"/>
  <c r="O40" i="12"/>
  <c r="Q10" i="5" s="1"/>
  <c r="C69" i="12"/>
  <c r="C94" i="12"/>
  <c r="C39" i="12"/>
  <c r="C38" i="12"/>
  <c r="C104" i="12"/>
  <c r="O32" i="12"/>
  <c r="Q27" i="5" s="1"/>
  <c r="C58" i="12"/>
  <c r="O88" i="12"/>
  <c r="Q33" i="5" s="1"/>
  <c r="C88" i="12"/>
  <c r="C32" i="12"/>
  <c r="C111" i="12"/>
  <c r="C62" i="12"/>
  <c r="C81" i="12"/>
  <c r="C51" i="12"/>
  <c r="C74" i="12"/>
  <c r="C40" i="12"/>
  <c r="O76" i="12"/>
  <c r="Q26" i="5" s="1"/>
  <c r="C82" i="12"/>
  <c r="O141" i="12"/>
  <c r="O100" i="12"/>
  <c r="Q12" i="5" s="1"/>
  <c r="C75" i="12"/>
  <c r="C122" i="12"/>
  <c r="C52" i="12"/>
  <c r="C26" i="12"/>
  <c r="C46" i="12"/>
  <c r="C76" i="12"/>
  <c r="C166" i="3"/>
  <c r="O166" i="3"/>
  <c r="C172" i="3"/>
  <c r="C171" i="3"/>
  <c r="C173" i="3"/>
  <c r="O171" i="3"/>
  <c r="O172" i="3"/>
  <c r="J102" i="16" l="1"/>
  <c r="S102" i="16"/>
  <c r="L101" i="16"/>
  <c r="I91" i="16"/>
  <c r="R91" i="16"/>
  <c r="N101" i="16"/>
  <c r="K91" i="16"/>
  <c r="K102" i="16"/>
  <c r="M101" i="16"/>
  <c r="J91" i="16"/>
  <c r="S91" i="16"/>
  <c r="L102" i="16"/>
  <c r="M102" i="16"/>
  <c r="O101" i="16"/>
  <c r="L91" i="16"/>
  <c r="H101" i="16"/>
  <c r="Q101" i="16"/>
  <c r="M91" i="16"/>
  <c r="N102" i="16"/>
  <c r="O102" i="16"/>
  <c r="I101" i="16"/>
  <c r="R101" i="16"/>
  <c r="N91" i="16"/>
  <c r="H102" i="16"/>
  <c r="Q102" i="16"/>
  <c r="J101" i="16"/>
  <c r="S101" i="16"/>
  <c r="O91" i="16"/>
  <c r="R102" i="16"/>
  <c r="K101" i="16"/>
  <c r="H91" i="16"/>
  <c r="Q91" i="16"/>
  <c r="I102" i="16"/>
  <c r="L68" i="16"/>
  <c r="H26" i="16"/>
  <c r="R26" i="16"/>
  <c r="O27" i="16"/>
  <c r="K69" i="16"/>
  <c r="N66" i="16"/>
  <c r="L67" i="16"/>
  <c r="Q52" i="16"/>
  <c r="J26" i="16"/>
  <c r="S26" i="16"/>
  <c r="Q27" i="16"/>
  <c r="L69" i="16"/>
  <c r="O66" i="16"/>
  <c r="M67" i="16"/>
  <c r="M68" i="16"/>
  <c r="N68" i="16"/>
  <c r="I18" i="16"/>
  <c r="K26" i="16"/>
  <c r="H27" i="16"/>
  <c r="R27" i="16"/>
  <c r="M69" i="16"/>
  <c r="Q66" i="16"/>
  <c r="N67" i="16"/>
  <c r="R18" i="16"/>
  <c r="O68" i="16"/>
  <c r="L26" i="16"/>
  <c r="J27" i="16"/>
  <c r="S27" i="16"/>
  <c r="N69" i="16"/>
  <c r="I66" i="16"/>
  <c r="R66" i="16"/>
  <c r="O67" i="16"/>
  <c r="M26" i="16"/>
  <c r="K27" i="16"/>
  <c r="O69" i="16"/>
  <c r="J66" i="16"/>
  <c r="S66" i="16"/>
  <c r="Q67" i="16"/>
  <c r="Q18" i="16"/>
  <c r="H69" i="16"/>
  <c r="H68" i="16"/>
  <c r="Q68" i="16"/>
  <c r="I68" i="16"/>
  <c r="R68" i="16"/>
  <c r="I25" i="16"/>
  <c r="N26" i="16"/>
  <c r="L27" i="16"/>
  <c r="Q69" i="16"/>
  <c r="K66" i="16"/>
  <c r="I67" i="16"/>
  <c r="R67" i="16"/>
  <c r="J68" i="16"/>
  <c r="S68" i="16"/>
  <c r="I26" i="16"/>
  <c r="O26" i="16"/>
  <c r="M27" i="16"/>
  <c r="I69" i="16"/>
  <c r="R69" i="16"/>
  <c r="L66" i="16"/>
  <c r="J67" i="16"/>
  <c r="S67" i="16"/>
  <c r="R52" i="16"/>
  <c r="K108" i="16"/>
  <c r="I27" i="16"/>
  <c r="Q26" i="16"/>
  <c r="N27" i="16"/>
  <c r="J69" i="16"/>
  <c r="S69" i="16"/>
  <c r="M66" i="16"/>
  <c r="K67" i="16"/>
  <c r="K68" i="16"/>
  <c r="O18" i="16"/>
  <c r="O52" i="16"/>
  <c r="S18" i="16"/>
  <c r="H52" i="16"/>
  <c r="S52" i="16"/>
  <c r="H18" i="16"/>
  <c r="I52" i="16"/>
  <c r="J18" i="16"/>
  <c r="J52" i="16"/>
  <c r="K18" i="16"/>
  <c r="K52" i="16"/>
  <c r="L18" i="16"/>
  <c r="L52" i="16"/>
  <c r="M18" i="16"/>
  <c r="M52" i="16"/>
  <c r="N18" i="16"/>
  <c r="N52" i="16"/>
  <c r="I64" i="16"/>
  <c r="K64" i="16"/>
  <c r="S64" i="16"/>
  <c r="R64" i="16"/>
  <c r="I90" i="16"/>
  <c r="L64" i="16"/>
  <c r="O64" i="16"/>
  <c r="M64" i="16"/>
  <c r="N64" i="16"/>
  <c r="Q64" i="16"/>
  <c r="J64" i="16"/>
  <c r="M121" i="16"/>
  <c r="N121" i="16"/>
  <c r="K90" i="16"/>
  <c r="S90" i="16"/>
  <c r="I7" i="16"/>
  <c r="F8" i="18" s="1"/>
  <c r="L90" i="16"/>
  <c r="I8" i="16"/>
  <c r="Q76" i="16"/>
  <c r="M90" i="16"/>
  <c r="H90" i="16"/>
  <c r="I48" i="16"/>
  <c r="R76" i="16"/>
  <c r="O121" i="16"/>
  <c r="H121" i="16"/>
  <c r="I121" i="16"/>
  <c r="Q121" i="16"/>
  <c r="N90" i="16"/>
  <c r="I47" i="16"/>
  <c r="I84" i="16"/>
  <c r="R121" i="16"/>
  <c r="O90" i="16"/>
  <c r="I85" i="16"/>
  <c r="S121" i="16"/>
  <c r="J121" i="16"/>
  <c r="K121" i="16"/>
  <c r="L121" i="16"/>
  <c r="Q90" i="16"/>
  <c r="I122" i="16"/>
  <c r="J90" i="16"/>
  <c r="R90" i="16"/>
  <c r="I123" i="16"/>
  <c r="J76" i="16"/>
  <c r="K76" i="16"/>
  <c r="L76" i="16"/>
  <c r="M76" i="16"/>
  <c r="N76" i="16"/>
  <c r="O76" i="16"/>
  <c r="H76" i="16"/>
  <c r="S76" i="16"/>
  <c r="I76" i="16"/>
  <c r="I92" i="16"/>
  <c r="I49" i="16"/>
  <c r="I51" i="16"/>
  <c r="M82" i="16"/>
  <c r="N39" i="16"/>
  <c r="N82" i="16"/>
  <c r="O39" i="16"/>
  <c r="K39" i="16"/>
  <c r="K82" i="16"/>
  <c r="O82" i="16"/>
  <c r="H39" i="16"/>
  <c r="I82" i="16"/>
  <c r="J39" i="16"/>
  <c r="J82" i="16"/>
  <c r="S39" i="16"/>
  <c r="L39" i="16"/>
  <c r="M39" i="16"/>
  <c r="H82" i="16"/>
  <c r="P82" i="16"/>
  <c r="I39" i="16"/>
  <c r="Q39" i="16"/>
  <c r="Q82" i="16"/>
  <c r="R39" i="16"/>
  <c r="R82" i="16"/>
  <c r="S82" i="16"/>
  <c r="L82" i="16"/>
  <c r="I125" i="16"/>
  <c r="M31" i="16"/>
  <c r="S31" i="16"/>
  <c r="N31" i="16"/>
  <c r="H114" i="16"/>
  <c r="I124" i="16"/>
  <c r="R114" i="16"/>
  <c r="K114" i="16"/>
  <c r="I114" i="16"/>
  <c r="Q114" i="16"/>
  <c r="J114" i="16"/>
  <c r="S114" i="16"/>
  <c r="L114" i="16"/>
  <c r="M114" i="16"/>
  <c r="N114" i="16"/>
  <c r="O114" i="16"/>
  <c r="R51" i="16"/>
  <c r="L31" i="16"/>
  <c r="O51" i="16"/>
  <c r="R31" i="16"/>
  <c r="K31" i="16"/>
  <c r="S51" i="16"/>
  <c r="Q51" i="16"/>
  <c r="Q31" i="16"/>
  <c r="J31" i="16"/>
  <c r="K51" i="16"/>
  <c r="N51" i="16"/>
  <c r="P51" i="16"/>
  <c r="J51" i="16"/>
  <c r="M51" i="16"/>
  <c r="I31" i="16"/>
  <c r="L51" i="16"/>
  <c r="O31" i="16"/>
  <c r="P31" i="16"/>
  <c r="H51" i="16"/>
  <c r="I127" i="16"/>
  <c r="K127" i="16"/>
  <c r="S127" i="16"/>
  <c r="P127" i="16"/>
  <c r="M81" i="16"/>
  <c r="H127" i="16"/>
  <c r="Q127" i="16"/>
  <c r="J127" i="16"/>
  <c r="O81" i="16"/>
  <c r="L127" i="16"/>
  <c r="I81" i="16"/>
  <c r="Q81" i="16"/>
  <c r="M127" i="16"/>
  <c r="J81" i="16"/>
  <c r="R81" i="16"/>
  <c r="N127" i="16"/>
  <c r="K81" i="16"/>
  <c r="S81" i="16"/>
  <c r="O127" i="16"/>
  <c r="I126" i="16"/>
  <c r="L81" i="16"/>
  <c r="N81" i="16"/>
  <c r="R127" i="16"/>
  <c r="J80" i="16"/>
  <c r="R80" i="16"/>
  <c r="K80" i="16"/>
  <c r="S80" i="16"/>
  <c r="I89" i="16"/>
  <c r="I12" i="16"/>
  <c r="Q17" i="16"/>
  <c r="I94" i="16"/>
  <c r="R17" i="16"/>
  <c r="I93" i="16"/>
  <c r="S17" i="16"/>
  <c r="I88" i="16"/>
  <c r="I9" i="16"/>
  <c r="I10" i="16"/>
  <c r="H10" i="16"/>
  <c r="L11" i="16"/>
  <c r="H12" i="16"/>
  <c r="O12" i="16"/>
  <c r="Q10" i="16"/>
  <c r="Q12" i="16"/>
  <c r="J10" i="16"/>
  <c r="R10" i="16"/>
  <c r="N11" i="16"/>
  <c r="J12" i="16"/>
  <c r="R12" i="16"/>
  <c r="K10" i="16"/>
  <c r="S10" i="16"/>
  <c r="O11" i="16"/>
  <c r="K12" i="16"/>
  <c r="S12" i="16"/>
  <c r="L10" i="16"/>
  <c r="L12" i="16"/>
  <c r="M10" i="16"/>
  <c r="Q11" i="16"/>
  <c r="M12" i="16"/>
  <c r="K11" i="16"/>
  <c r="N10" i="16"/>
  <c r="N12" i="16"/>
  <c r="O10" i="16"/>
  <c r="R15" i="16"/>
  <c r="R21" i="16"/>
  <c r="R29" i="16"/>
  <c r="R36" i="16"/>
  <c r="R45" i="16"/>
  <c r="R58" i="16"/>
  <c r="R92" i="16"/>
  <c r="R99" i="16"/>
  <c r="R106" i="16"/>
  <c r="R124" i="16"/>
  <c r="Q15" i="16"/>
  <c r="Q21" i="16"/>
  <c r="Q36" i="16"/>
  <c r="Q45" i="16"/>
  <c r="Q58" i="16"/>
  <c r="Q92" i="16"/>
  <c r="Q99" i="16"/>
  <c r="Q106" i="16"/>
  <c r="Q124" i="16"/>
  <c r="R59" i="16"/>
  <c r="R84" i="16"/>
  <c r="R93" i="16"/>
  <c r="R107" i="16"/>
  <c r="R116" i="16"/>
  <c r="Q22" i="16"/>
  <c r="Q59" i="16"/>
  <c r="Q84" i="16"/>
  <c r="Q93" i="16"/>
  <c r="Q107" i="16"/>
  <c r="Q116" i="16"/>
  <c r="Q85" i="16"/>
  <c r="Q94" i="16"/>
  <c r="R16" i="16"/>
  <c r="R38" i="16"/>
  <c r="R53" i="16"/>
  <c r="R60" i="16"/>
  <c r="R85" i="16"/>
  <c r="R94" i="16"/>
  <c r="R117" i="16"/>
  <c r="R126" i="16"/>
  <c r="Q16" i="16"/>
  <c r="Q38" i="16"/>
  <c r="Q53" i="16"/>
  <c r="Q60" i="16"/>
  <c r="R24" i="16"/>
  <c r="R47" i="16"/>
  <c r="R54" i="16"/>
  <c r="R86" i="16"/>
  <c r="R7" i="16"/>
  <c r="Q24" i="16"/>
  <c r="Q47" i="16"/>
  <c r="Q54" i="16"/>
  <c r="Q7" i="16"/>
  <c r="Q126" i="16"/>
  <c r="R8" i="16"/>
  <c r="R25" i="16"/>
  <c r="R41" i="16"/>
  <c r="R48" i="16"/>
  <c r="R62" i="16"/>
  <c r="R71" i="16"/>
  <c r="R78" i="16"/>
  <c r="Q8" i="16"/>
  <c r="Q25" i="16"/>
  <c r="Q41" i="16"/>
  <c r="Q48" i="16"/>
  <c r="Q55" i="16"/>
  <c r="Q62" i="16"/>
  <c r="Q71" i="16"/>
  <c r="Q78" i="16"/>
  <c r="Q87" i="16"/>
  <c r="R9" i="16"/>
  <c r="R33" i="16"/>
  <c r="R63" i="16"/>
  <c r="R72" i="16"/>
  <c r="R79" i="16"/>
  <c r="R103" i="16"/>
  <c r="R111" i="16"/>
  <c r="Q9" i="16"/>
  <c r="Q33" i="16"/>
  <c r="Q63" i="16"/>
  <c r="Q72" i="16"/>
  <c r="Q79" i="16"/>
  <c r="Q103" i="16"/>
  <c r="Q111" i="16"/>
  <c r="R34" i="16"/>
  <c r="R43" i="16"/>
  <c r="R73" i="16"/>
  <c r="R89" i="16"/>
  <c r="R97" i="16"/>
  <c r="R104" i="16"/>
  <c r="Q34" i="16"/>
  <c r="Q89" i="16"/>
  <c r="Q97" i="16"/>
  <c r="Q104" i="16"/>
  <c r="Q117" i="16"/>
  <c r="R20" i="16"/>
  <c r="R28" i="16"/>
  <c r="R35" i="16"/>
  <c r="R98" i="16"/>
  <c r="R105" i="16"/>
  <c r="R113" i="16"/>
  <c r="R123" i="16"/>
  <c r="Q20" i="16"/>
  <c r="Q28" i="16"/>
  <c r="Q35" i="16"/>
  <c r="Q98" i="16"/>
  <c r="Q105" i="16"/>
  <c r="Q113" i="16"/>
  <c r="Q123" i="16"/>
  <c r="I113" i="16"/>
  <c r="I99" i="16"/>
  <c r="I111" i="16"/>
  <c r="H33" i="16"/>
  <c r="I33" i="16"/>
  <c r="S33" i="16"/>
  <c r="J33" i="16"/>
  <c r="M33" i="16"/>
  <c r="K33" i="16"/>
  <c r="N33" i="16"/>
  <c r="O33" i="16"/>
  <c r="L33" i="16"/>
  <c r="J24" i="16"/>
  <c r="L24" i="16"/>
  <c r="H24" i="16"/>
  <c r="H25" i="16"/>
  <c r="P24" i="16"/>
  <c r="S24" i="16"/>
  <c r="K24" i="16"/>
  <c r="M24" i="16"/>
  <c r="N24" i="16"/>
  <c r="O24" i="16"/>
  <c r="K89" i="16"/>
  <c r="O89" i="16"/>
  <c r="S89" i="16"/>
  <c r="H89" i="16"/>
  <c r="J89" i="16"/>
  <c r="N89" i="16"/>
  <c r="L89" i="16"/>
  <c r="M89" i="16"/>
  <c r="I72" i="16"/>
  <c r="K20" i="16"/>
  <c r="L21" i="16"/>
  <c r="K21" i="16"/>
  <c r="L20" i="16"/>
  <c r="I71" i="16"/>
  <c r="H48" i="16"/>
  <c r="L22" i="16"/>
  <c r="K48" i="16"/>
  <c r="M48" i="16"/>
  <c r="N48" i="16"/>
  <c r="O48" i="16"/>
  <c r="S48" i="16"/>
  <c r="L48" i="16"/>
  <c r="I73" i="16"/>
  <c r="J48" i="16"/>
  <c r="L25" i="16"/>
  <c r="K25" i="16"/>
  <c r="L62" i="16"/>
  <c r="M62" i="16"/>
  <c r="N62" i="16"/>
  <c r="S62" i="16"/>
  <c r="O62" i="16"/>
  <c r="H62" i="16"/>
  <c r="I62" i="16"/>
  <c r="J62" i="16"/>
  <c r="K62" i="16"/>
  <c r="L63" i="16"/>
  <c r="L111" i="16"/>
  <c r="L107" i="16"/>
  <c r="L103" i="16"/>
  <c r="L84" i="16"/>
  <c r="L79" i="16"/>
  <c r="L71" i="16"/>
  <c r="L47" i="16"/>
  <c r="L28" i="16"/>
  <c r="M8" i="16"/>
  <c r="N9" i="16"/>
  <c r="H29" i="16"/>
  <c r="O34" i="16"/>
  <c r="S35" i="16"/>
  <c r="J53" i="16"/>
  <c r="M54" i="16"/>
  <c r="O58" i="16"/>
  <c r="J84" i="16"/>
  <c r="H7" i="16"/>
  <c r="E8" i="18" s="1"/>
  <c r="M63" i="16"/>
  <c r="K111" i="16"/>
  <c r="K107" i="16"/>
  <c r="K103" i="16"/>
  <c r="K84" i="16"/>
  <c r="K79" i="16"/>
  <c r="K71" i="16"/>
  <c r="K47" i="16"/>
  <c r="K28" i="16"/>
  <c r="J47" i="16"/>
  <c r="N8" i="16"/>
  <c r="O9" i="16"/>
  <c r="H28" i="16"/>
  <c r="S34" i="16"/>
  <c r="M53" i="16"/>
  <c r="N54" i="16"/>
  <c r="S58" i="16"/>
  <c r="H60" i="16"/>
  <c r="M84" i="16"/>
  <c r="O86" i="16"/>
  <c r="N63" i="16"/>
  <c r="L60" i="16"/>
  <c r="L35" i="16"/>
  <c r="L9" i="16"/>
  <c r="O8" i="16"/>
  <c r="S9" i="16"/>
  <c r="I28" i="16"/>
  <c r="J29" i="16"/>
  <c r="H35" i="16"/>
  <c r="L104" i="16"/>
  <c r="K54" i="16"/>
  <c r="H75" i="16"/>
  <c r="H9" i="16"/>
  <c r="N29" i="16"/>
  <c r="J34" i="16"/>
  <c r="I54" i="16"/>
  <c r="O60" i="16"/>
  <c r="S87" i="16"/>
  <c r="I107" i="16"/>
  <c r="H111" i="16"/>
  <c r="S124" i="16"/>
  <c r="S63" i="16"/>
  <c r="K104" i="16"/>
  <c r="K60" i="16"/>
  <c r="L53" i="16"/>
  <c r="K9" i="16"/>
  <c r="O29" i="16"/>
  <c r="M34" i="16"/>
  <c r="J54" i="16"/>
  <c r="H58" i="16"/>
  <c r="S60" i="16"/>
  <c r="J107" i="16"/>
  <c r="O63" i="16"/>
  <c r="L86" i="16"/>
  <c r="L73" i="16"/>
  <c r="K53" i="16"/>
  <c r="L8" i="16"/>
  <c r="J9" i="16"/>
  <c r="J28" i="16"/>
  <c r="N34" i="16"/>
  <c r="H53" i="16"/>
  <c r="O54" i="16"/>
  <c r="I58" i="16"/>
  <c r="H84" i="16"/>
  <c r="M107" i="16"/>
  <c r="J111" i="16"/>
  <c r="H124" i="16"/>
  <c r="H63" i="16"/>
  <c r="K86" i="16"/>
  <c r="K73" i="16"/>
  <c r="K35" i="16"/>
  <c r="K8" i="16"/>
  <c r="M9" i="16"/>
  <c r="M28" i="16"/>
  <c r="I35" i="16"/>
  <c r="I53" i="16"/>
  <c r="S54" i="16"/>
  <c r="J58" i="16"/>
  <c r="N107" i="16"/>
  <c r="M111" i="16"/>
  <c r="I63" i="16"/>
  <c r="L116" i="16"/>
  <c r="L72" i="16"/>
  <c r="L58" i="16"/>
  <c r="L34" i="16"/>
  <c r="L7" i="16"/>
  <c r="H8" i="16"/>
  <c r="N28" i="16"/>
  <c r="J35" i="16"/>
  <c r="N53" i="16"/>
  <c r="M58" i="16"/>
  <c r="I60" i="16"/>
  <c r="N84" i="16"/>
  <c r="H86" i="16"/>
  <c r="O107" i="16"/>
  <c r="N111" i="16"/>
  <c r="J124" i="16"/>
  <c r="L54" i="16"/>
  <c r="J63" i="16"/>
  <c r="L124" i="16"/>
  <c r="K116" i="16"/>
  <c r="L93" i="16"/>
  <c r="K72" i="16"/>
  <c r="K58" i="16"/>
  <c r="K34" i="16"/>
  <c r="K7" i="16"/>
  <c r="O28" i="16"/>
  <c r="M35" i="16"/>
  <c r="O53" i="16"/>
  <c r="N58" i="16"/>
  <c r="J60" i="16"/>
  <c r="O84" i="16"/>
  <c r="M87" i="16"/>
  <c r="S107" i="16"/>
  <c r="O111" i="16"/>
  <c r="M124" i="16"/>
  <c r="K63" i="16"/>
  <c r="K124" i="16"/>
  <c r="L105" i="16"/>
  <c r="K93" i="16"/>
  <c r="J8" i="16"/>
  <c r="S28" i="16"/>
  <c r="H34" i="16"/>
  <c r="N35" i="16"/>
  <c r="S53" i="16"/>
  <c r="M60" i="16"/>
  <c r="S84" i="16"/>
  <c r="S111" i="16"/>
  <c r="N124" i="16"/>
  <c r="K105" i="16"/>
  <c r="H54" i="16"/>
  <c r="M86" i="16"/>
  <c r="I34" i="16"/>
  <c r="O35" i="16"/>
  <c r="O124" i="16"/>
  <c r="H107" i="16"/>
  <c r="N60" i="16"/>
  <c r="S8" i="16"/>
  <c r="N15" i="16"/>
  <c r="L16" i="16"/>
  <c r="I20" i="16"/>
  <c r="H21" i="16"/>
  <c r="S21" i="16"/>
  <c r="N25" i="16"/>
  <c r="J72" i="16"/>
  <c r="H93" i="16"/>
  <c r="S93" i="16"/>
  <c r="J105" i="16"/>
  <c r="H116" i="16"/>
  <c r="S116" i="16"/>
  <c r="O15" i="16"/>
  <c r="M16" i="16"/>
  <c r="J20" i="16"/>
  <c r="I21" i="16"/>
  <c r="H22" i="16"/>
  <c r="S22" i="16"/>
  <c r="O25" i="16"/>
  <c r="M47" i="16"/>
  <c r="M79" i="16"/>
  <c r="M103" i="16"/>
  <c r="I116" i="16"/>
  <c r="O47" i="16"/>
  <c r="H15" i="16"/>
  <c r="S15" i="16"/>
  <c r="N16" i="16"/>
  <c r="J21" i="16"/>
  <c r="I22" i="16"/>
  <c r="S25" i="16"/>
  <c r="N47" i="16"/>
  <c r="H65" i="16"/>
  <c r="M71" i="16"/>
  <c r="N79" i="16"/>
  <c r="J93" i="16"/>
  <c r="N103" i="16"/>
  <c r="M104" i="16"/>
  <c r="J116" i="16"/>
  <c r="I15" i="16"/>
  <c r="M105" i="16"/>
  <c r="J15" i="16"/>
  <c r="H16" i="16"/>
  <c r="S16" i="16"/>
  <c r="M20" i="16"/>
  <c r="J25" i="16"/>
  <c r="S47" i="16"/>
  <c r="H67" i="16"/>
  <c r="O71" i="16"/>
  <c r="N72" i="16"/>
  <c r="H79" i="16"/>
  <c r="S79" i="16"/>
  <c r="H103" i="16"/>
  <c r="S103" i="16"/>
  <c r="O104" i="16"/>
  <c r="N105" i="16"/>
  <c r="O103" i="16"/>
  <c r="K15" i="16"/>
  <c r="I16" i="16"/>
  <c r="N20" i="16"/>
  <c r="M21" i="16"/>
  <c r="H71" i="16"/>
  <c r="S71" i="16"/>
  <c r="O72" i="16"/>
  <c r="N73" i="16"/>
  <c r="I79" i="16"/>
  <c r="M93" i="16"/>
  <c r="H104" i="16"/>
  <c r="S104" i="16"/>
  <c r="O105" i="16"/>
  <c r="M116" i="16"/>
  <c r="J22" i="16"/>
  <c r="M72" i="16"/>
  <c r="O79" i="16"/>
  <c r="L15" i="16"/>
  <c r="J16" i="16"/>
  <c r="O20" i="16"/>
  <c r="N21" i="16"/>
  <c r="M22" i="16"/>
  <c r="H47" i="16"/>
  <c r="H72" i="16"/>
  <c r="S72" i="16"/>
  <c r="J79" i="16"/>
  <c r="N93" i="16"/>
  <c r="J103" i="16"/>
  <c r="I104" i="16"/>
  <c r="H105" i="16"/>
  <c r="S105" i="16"/>
  <c r="N116" i="16"/>
  <c r="N71" i="16"/>
  <c r="N104" i="16"/>
  <c r="M15" i="16"/>
  <c r="K16" i="16"/>
  <c r="H20" i="16"/>
  <c r="S20" i="16"/>
  <c r="O21" i="16"/>
  <c r="M25" i="16"/>
  <c r="J71" i="16"/>
  <c r="H73" i="16"/>
  <c r="S73" i="16"/>
  <c r="O93" i="16"/>
  <c r="J104" i="16"/>
  <c r="I105" i="16"/>
  <c r="O116" i="16"/>
  <c r="O16" i="16"/>
  <c r="Q21" i="5"/>
  <c r="N7" i="16"/>
  <c r="O7" i="16"/>
  <c r="M7" i="16"/>
  <c r="G8" i="18" s="1"/>
  <c r="J7" i="16"/>
  <c r="S7" i="16"/>
  <c r="O135" i="12"/>
  <c r="Q135" i="12"/>
  <c r="R135" i="12"/>
  <c r="O134" i="12"/>
  <c r="Q31" i="5" s="1"/>
  <c r="Q134" i="12"/>
  <c r="R134" i="12"/>
  <c r="Q138" i="12"/>
  <c r="R138" i="12"/>
  <c r="O136" i="12"/>
  <c r="R136" i="12"/>
  <c r="Q136" i="12"/>
  <c r="O137" i="12"/>
  <c r="R137" i="12"/>
  <c r="Q137" i="12"/>
  <c r="Q25" i="5"/>
  <c r="C134" i="12"/>
  <c r="I78" i="16" s="1"/>
  <c r="C136" i="12"/>
  <c r="H36" i="16" s="1"/>
  <c r="C137" i="12"/>
  <c r="L113" i="16" s="1"/>
  <c r="C135" i="12"/>
  <c r="H126" i="16" s="1"/>
  <c r="Q20" i="5"/>
  <c r="Q13" i="5"/>
  <c r="Q22" i="5"/>
  <c r="O165" i="3"/>
  <c r="C165" i="3"/>
  <c r="E18" i="9"/>
  <c r="D17" i="13" s="1"/>
  <c r="E23" i="9"/>
  <c r="D22" i="13" s="1"/>
  <c r="E36" i="9"/>
  <c r="D35" i="13" s="1"/>
  <c r="E42" i="9"/>
  <c r="D41" i="13" s="1"/>
  <c r="W14" i="3"/>
  <c r="C161" i="3"/>
  <c r="C162" i="3"/>
  <c r="C163" i="3"/>
  <c r="C155" i="3"/>
  <c r="C156" i="3"/>
  <c r="C157" i="3"/>
  <c r="C150" i="3"/>
  <c r="C151" i="3"/>
  <c r="C145" i="3"/>
  <c r="C139" i="3"/>
  <c r="C133" i="3"/>
  <c r="C127" i="3"/>
  <c r="C121" i="3"/>
  <c r="C115" i="3"/>
  <c r="C109" i="3"/>
  <c r="C103" i="3"/>
  <c r="C97" i="3"/>
  <c r="C91" i="3"/>
  <c r="C85" i="3"/>
  <c r="C79" i="3"/>
  <c r="C73" i="3"/>
  <c r="C67" i="3"/>
  <c r="C61" i="3"/>
  <c r="C55" i="3"/>
  <c r="C49" i="3"/>
  <c r="C43" i="3"/>
  <c r="C37" i="3"/>
  <c r="C31" i="3"/>
  <c r="C24" i="3"/>
  <c r="C25" i="3"/>
  <c r="D11" i="3"/>
  <c r="D10" i="3"/>
  <c r="D12" i="3"/>
  <c r="P12" i="3" s="1"/>
  <c r="W12" i="3" s="1"/>
  <c r="D13" i="3"/>
  <c r="P13" i="3" s="1"/>
  <c r="W13" i="3" s="1"/>
  <c r="Q73" i="16" l="1"/>
  <c r="M11" i="16"/>
  <c r="Q80" i="16"/>
  <c r="O73" i="16"/>
  <c r="J73" i="16"/>
  <c r="O22" i="16"/>
  <c r="M29" i="16"/>
  <c r="Q43" i="16"/>
  <c r="Q86" i="16"/>
  <c r="S11" i="16"/>
  <c r="I11" i="16"/>
  <c r="I80" i="16"/>
  <c r="H80" i="16"/>
  <c r="K22" i="16"/>
  <c r="I86" i="16"/>
  <c r="M80" i="16"/>
  <c r="O80" i="16"/>
  <c r="N22" i="16"/>
  <c r="S29" i="16"/>
  <c r="N86" i="16"/>
  <c r="R11" i="16"/>
  <c r="M73" i="16"/>
  <c r="J86" i="16"/>
  <c r="K29" i="16"/>
  <c r="L29" i="16"/>
  <c r="S86" i="16"/>
  <c r="I29" i="16"/>
  <c r="R22" i="16"/>
  <c r="Q29" i="16"/>
  <c r="J11" i="16"/>
  <c r="H11" i="16"/>
  <c r="L80" i="16"/>
  <c r="N80" i="16"/>
  <c r="R87" i="16"/>
  <c r="I87" i="16"/>
  <c r="E101" i="16"/>
  <c r="H87" i="16"/>
  <c r="K87" i="16"/>
  <c r="L87" i="16"/>
  <c r="Q74" i="16"/>
  <c r="J87" i="16"/>
  <c r="E91" i="16"/>
  <c r="E102" i="16"/>
  <c r="O87" i="16"/>
  <c r="N87" i="16"/>
  <c r="E69" i="16"/>
  <c r="M95" i="16"/>
  <c r="E68" i="16"/>
  <c r="E27" i="16"/>
  <c r="J95" i="16"/>
  <c r="E52" i="16"/>
  <c r="E18" i="16"/>
  <c r="I50" i="16"/>
  <c r="E26" i="16"/>
  <c r="E121" i="16"/>
  <c r="E76" i="16"/>
  <c r="O95" i="16"/>
  <c r="J17" i="16"/>
  <c r="O17" i="16"/>
  <c r="E90" i="16"/>
  <c r="R55" i="16"/>
  <c r="N95" i="16"/>
  <c r="Q95" i="16"/>
  <c r="L17" i="16"/>
  <c r="U8" i="12" a="1"/>
  <c r="Q44" i="16"/>
  <c r="R74" i="16"/>
  <c r="L95" i="16"/>
  <c r="H95" i="16"/>
  <c r="K17" i="16"/>
  <c r="I17" i="16"/>
  <c r="R44" i="16"/>
  <c r="S95" i="16"/>
  <c r="I95" i="16"/>
  <c r="K95" i="16"/>
  <c r="M17" i="16"/>
  <c r="R95" i="16"/>
  <c r="N17" i="16"/>
  <c r="H17" i="16"/>
  <c r="E39" i="16"/>
  <c r="E82" i="16"/>
  <c r="E114" i="16"/>
  <c r="E11" i="16"/>
  <c r="E12" i="16"/>
  <c r="E10" i="16"/>
  <c r="E127" i="16"/>
  <c r="S61" i="16"/>
  <c r="M23" i="16"/>
  <c r="K23" i="16"/>
  <c r="O61" i="16"/>
  <c r="N23" i="16"/>
  <c r="Q23" i="16"/>
  <c r="H61" i="16"/>
  <c r="I23" i="16"/>
  <c r="H23" i="16"/>
  <c r="L61" i="16"/>
  <c r="J23" i="16"/>
  <c r="N61" i="16"/>
  <c r="J61" i="16"/>
  <c r="I61" i="16"/>
  <c r="O23" i="16"/>
  <c r="R23" i="16"/>
  <c r="K61" i="16"/>
  <c r="S23" i="16"/>
  <c r="Q61" i="16"/>
  <c r="M61" i="16"/>
  <c r="L23" i="16"/>
  <c r="R61" i="16"/>
  <c r="J108" i="16"/>
  <c r="J88" i="16"/>
  <c r="L56" i="16"/>
  <c r="Q37" i="16"/>
  <c r="H88" i="16"/>
  <c r="I37" i="16"/>
  <c r="K37" i="16"/>
  <c r="L37" i="16"/>
  <c r="K56" i="16"/>
  <c r="S56" i="16"/>
  <c r="R108" i="16"/>
  <c r="H108" i="16"/>
  <c r="N108" i="16"/>
  <c r="L108" i="16"/>
  <c r="S88" i="16"/>
  <c r="O37" i="16"/>
  <c r="M37" i="16"/>
  <c r="R112" i="16"/>
  <c r="M88" i="16"/>
  <c r="S37" i="16"/>
  <c r="K88" i="16"/>
  <c r="L88" i="16"/>
  <c r="O108" i="16"/>
  <c r="P56" i="16"/>
  <c r="M56" i="16"/>
  <c r="Q56" i="16"/>
  <c r="Q88" i="16"/>
  <c r="O88" i="16"/>
  <c r="J56" i="16"/>
  <c r="O56" i="16"/>
  <c r="S108" i="16"/>
  <c r="R37" i="16"/>
  <c r="J37" i="16"/>
  <c r="N88" i="16"/>
  <c r="I56" i="16"/>
  <c r="I108" i="16"/>
  <c r="Q108" i="16"/>
  <c r="R56" i="16"/>
  <c r="N37" i="16"/>
  <c r="H56" i="16"/>
  <c r="H37" i="16"/>
  <c r="M108" i="16"/>
  <c r="N56" i="16"/>
  <c r="R88" i="16"/>
  <c r="O118" i="16"/>
  <c r="S77" i="16"/>
  <c r="J122" i="16"/>
  <c r="S30" i="16"/>
  <c r="J30" i="16"/>
  <c r="K118" i="16"/>
  <c r="Q30" i="16"/>
  <c r="H77" i="16"/>
  <c r="I77" i="16"/>
  <c r="K30" i="16"/>
  <c r="K122" i="16"/>
  <c r="Q49" i="16"/>
  <c r="R77" i="16"/>
  <c r="O77" i="16"/>
  <c r="N77" i="16"/>
  <c r="L77" i="16"/>
  <c r="M30" i="16"/>
  <c r="I30" i="16"/>
  <c r="S122" i="16"/>
  <c r="Q118" i="16"/>
  <c r="J118" i="16"/>
  <c r="N118" i="16"/>
  <c r="M77" i="16"/>
  <c r="J77" i="16"/>
  <c r="K77" i="16"/>
  <c r="L30" i="16"/>
  <c r="H118" i="16"/>
  <c r="O122" i="16"/>
  <c r="L122" i="16"/>
  <c r="Q122" i="16"/>
  <c r="H57" i="17" s="1"/>
  <c r="H30" i="16"/>
  <c r="S118" i="16"/>
  <c r="M118" i="16"/>
  <c r="H122" i="16"/>
  <c r="Q112" i="16"/>
  <c r="R49" i="16"/>
  <c r="R118" i="16"/>
  <c r="R30" i="16"/>
  <c r="I118" i="16"/>
  <c r="L118" i="16"/>
  <c r="N122" i="16"/>
  <c r="Q77" i="16"/>
  <c r="O30" i="16"/>
  <c r="N30" i="16"/>
  <c r="M122" i="16"/>
  <c r="R122" i="16"/>
  <c r="R50" i="16"/>
  <c r="Q125" i="16"/>
  <c r="Q119" i="16"/>
  <c r="R125" i="16"/>
  <c r="R42" i="16"/>
  <c r="R119" i="16"/>
  <c r="R100" i="16"/>
  <c r="Q100" i="16"/>
  <c r="Q30" i="5"/>
  <c r="Q50" i="16"/>
  <c r="Q42" i="16"/>
  <c r="Q33" i="17" s="1"/>
  <c r="A36" i="17"/>
  <c r="A48" i="17"/>
  <c r="J39" i="17"/>
  <c r="A34" i="17"/>
  <c r="J41" i="17"/>
  <c r="J53" i="17"/>
  <c r="J42" i="17"/>
  <c r="A47" i="17"/>
  <c r="H106" i="16"/>
  <c r="S78" i="16"/>
  <c r="M106" i="16"/>
  <c r="N94" i="16"/>
  <c r="N123" i="16"/>
  <c r="L55" i="16"/>
  <c r="L112" i="16"/>
  <c r="J59" i="16"/>
  <c r="J78" i="16"/>
  <c r="S55" i="16"/>
  <c r="S106" i="16"/>
  <c r="M94" i="16"/>
  <c r="N106" i="16"/>
  <c r="H117" i="16"/>
  <c r="N78" i="16"/>
  <c r="I106" i="16"/>
  <c r="I112" i="16"/>
  <c r="K78" i="16"/>
  <c r="K117" i="16"/>
  <c r="O44" i="16"/>
  <c r="J117" i="16"/>
  <c r="O94" i="16"/>
  <c r="I59" i="16"/>
  <c r="L123" i="16"/>
  <c r="L106" i="16"/>
  <c r="O55" i="16"/>
  <c r="J106" i="16"/>
  <c r="I98" i="16"/>
  <c r="N117" i="16"/>
  <c r="O106" i="16"/>
  <c r="J94" i="16"/>
  <c r="M59" i="16"/>
  <c r="S94" i="16"/>
  <c r="H59" i="16"/>
  <c r="S112" i="16"/>
  <c r="M112" i="16"/>
  <c r="H94" i="16"/>
  <c r="M55" i="16"/>
  <c r="H112" i="16"/>
  <c r="N112" i="16"/>
  <c r="O59" i="16"/>
  <c r="H97" i="16"/>
  <c r="I117" i="16"/>
  <c r="O78" i="16"/>
  <c r="S117" i="16"/>
  <c r="O117" i="16"/>
  <c r="M78" i="16"/>
  <c r="I55" i="16"/>
  <c r="K94" i="16"/>
  <c r="K112" i="16"/>
  <c r="O123" i="16"/>
  <c r="S59" i="16"/>
  <c r="S44" i="16"/>
  <c r="M123" i="16"/>
  <c r="K106" i="16"/>
  <c r="O112" i="16"/>
  <c r="L117" i="16"/>
  <c r="L44" i="16"/>
  <c r="I44" i="16"/>
  <c r="K123" i="16"/>
  <c r="L78" i="16"/>
  <c r="N55" i="16"/>
  <c r="J55" i="16"/>
  <c r="L59" i="16"/>
  <c r="S123" i="16"/>
  <c r="M117" i="16"/>
  <c r="H78" i="16"/>
  <c r="K55" i="16"/>
  <c r="J123" i="16"/>
  <c r="H55" i="16"/>
  <c r="H123" i="16"/>
  <c r="K59" i="16"/>
  <c r="N59" i="16"/>
  <c r="J112" i="16"/>
  <c r="L94" i="16"/>
  <c r="K44" i="16"/>
  <c r="H44" i="16"/>
  <c r="N44" i="16"/>
  <c r="M44" i="16"/>
  <c r="J44" i="16"/>
  <c r="H43" i="16"/>
  <c r="N43" i="16"/>
  <c r="I43" i="16"/>
  <c r="O74" i="16"/>
  <c r="M43" i="16"/>
  <c r="J43" i="16"/>
  <c r="L97" i="16"/>
  <c r="S43" i="16"/>
  <c r="O43" i="16"/>
  <c r="M74" i="16"/>
  <c r="K36" i="16"/>
  <c r="L125" i="16"/>
  <c r="N97" i="16"/>
  <c r="S97" i="16"/>
  <c r="I36" i="16"/>
  <c r="I97" i="16"/>
  <c r="O97" i="16"/>
  <c r="M97" i="16"/>
  <c r="J74" i="16"/>
  <c r="O36" i="16"/>
  <c r="S33" i="5"/>
  <c r="S32" i="5"/>
  <c r="K97" i="16"/>
  <c r="I74" i="16"/>
  <c r="N36" i="16"/>
  <c r="K43" i="16"/>
  <c r="L43" i="16"/>
  <c r="S36" i="16"/>
  <c r="M36" i="16"/>
  <c r="S74" i="16"/>
  <c r="K74" i="16"/>
  <c r="L74" i="16"/>
  <c r="J36" i="16"/>
  <c r="J97" i="16"/>
  <c r="N74" i="16"/>
  <c r="H74" i="16"/>
  <c r="L36" i="16"/>
  <c r="M42" i="16"/>
  <c r="K42" i="16"/>
  <c r="S119" i="16"/>
  <c r="N119" i="16"/>
  <c r="O42" i="16"/>
  <c r="K125" i="16"/>
  <c r="M119" i="16"/>
  <c r="I42" i="16"/>
  <c r="S125" i="16"/>
  <c r="O125" i="16"/>
  <c r="H42" i="16"/>
  <c r="J125" i="16"/>
  <c r="I119" i="16"/>
  <c r="N42" i="16"/>
  <c r="M125" i="16"/>
  <c r="L42" i="16"/>
  <c r="K119" i="16"/>
  <c r="I100" i="16"/>
  <c r="O119" i="16"/>
  <c r="L119" i="16"/>
  <c r="S42" i="16"/>
  <c r="N125" i="16"/>
  <c r="H125" i="16"/>
  <c r="J119" i="16"/>
  <c r="H119" i="16"/>
  <c r="J42" i="16"/>
  <c r="E48" i="16"/>
  <c r="E24" i="16"/>
  <c r="E33" i="16"/>
  <c r="S126" i="16"/>
  <c r="J126" i="16"/>
  <c r="N126" i="16"/>
  <c r="O126" i="16"/>
  <c r="K126" i="16"/>
  <c r="M126" i="16"/>
  <c r="L126" i="16"/>
  <c r="O113" i="16"/>
  <c r="N113" i="16"/>
  <c r="M113" i="16"/>
  <c r="H81" i="16"/>
  <c r="H113" i="16"/>
  <c r="H31" i="16"/>
  <c r="J113" i="16"/>
  <c r="K113" i="16"/>
  <c r="S113" i="16"/>
  <c r="E89" i="16"/>
  <c r="M100" i="16"/>
  <c r="H100" i="16"/>
  <c r="S100" i="16"/>
  <c r="L100" i="16"/>
  <c r="O100" i="16"/>
  <c r="N100" i="16"/>
  <c r="J100" i="16"/>
  <c r="K100" i="16"/>
  <c r="I35" i="17"/>
  <c r="G35" i="17" s="1"/>
  <c r="F57" i="17"/>
  <c r="I45" i="17"/>
  <c r="G45" i="17" s="1"/>
  <c r="R47" i="17"/>
  <c r="P47" i="17" s="1"/>
  <c r="H39" i="17"/>
  <c r="I33" i="17"/>
  <c r="G33" i="17" s="1"/>
  <c r="I8" i="18"/>
  <c r="M47" i="17"/>
  <c r="Q47" i="17"/>
  <c r="H54" i="17"/>
  <c r="F54" i="17"/>
  <c r="R34" i="17"/>
  <c r="P34" i="17" s="1"/>
  <c r="P57" i="17"/>
  <c r="N39" i="17"/>
  <c r="R42" i="17"/>
  <c r="P42" i="17" s="1"/>
  <c r="D45" i="17"/>
  <c r="I54" i="17"/>
  <c r="G54" i="17" s="1"/>
  <c r="O47" i="17"/>
  <c r="R39" i="17"/>
  <c r="P39" i="17" s="1"/>
  <c r="I52" i="17"/>
  <c r="G52" i="17" s="1"/>
  <c r="Q42" i="17"/>
  <c r="E35" i="17"/>
  <c r="Q39" i="17"/>
  <c r="F33" i="17"/>
  <c r="H8" i="18"/>
  <c r="E54" i="17"/>
  <c r="H33" i="17"/>
  <c r="K8" i="18"/>
  <c r="O39" i="17"/>
  <c r="E45" i="17"/>
  <c r="I39" i="17"/>
  <c r="G39" i="17" s="1"/>
  <c r="H45" i="17"/>
  <c r="E52" i="17"/>
  <c r="N42" i="17"/>
  <c r="E63" i="16"/>
  <c r="H35" i="17"/>
  <c r="E47" i="16"/>
  <c r="E67" i="16"/>
  <c r="E39" i="17"/>
  <c r="E75" i="16"/>
  <c r="M39" i="17"/>
  <c r="N47" i="17"/>
  <c r="H52" i="17"/>
  <c r="O42" i="17"/>
  <c r="M42" i="17"/>
  <c r="AA35" i="17"/>
  <c r="Y35" i="17" s="1"/>
  <c r="P35" i="17"/>
  <c r="H34" i="17"/>
  <c r="Q34" i="17"/>
  <c r="Z34" i="17"/>
  <c r="O36" i="17"/>
  <c r="X36" i="17"/>
  <c r="V34" i="17"/>
  <c r="M34" i="17"/>
  <c r="M36" i="17"/>
  <c r="V36" i="17"/>
  <c r="Z35" i="17"/>
  <c r="Q35" i="17"/>
  <c r="N36" i="17"/>
  <c r="W36" i="17"/>
  <c r="AA36" i="17"/>
  <c r="Y36" i="17" s="1"/>
  <c r="P48" i="17"/>
  <c r="P36" i="17"/>
  <c r="X35" i="17"/>
  <c r="O35" i="17"/>
  <c r="Q28" i="5"/>
  <c r="I34" i="17"/>
  <c r="G34" i="17" s="1"/>
  <c r="AA34" i="17"/>
  <c r="Y34" i="17" s="1"/>
  <c r="F35" i="17"/>
  <c r="E34" i="17"/>
  <c r="W34" i="17"/>
  <c r="N34" i="17"/>
  <c r="F34" i="17"/>
  <c r="X34" i="17"/>
  <c r="O34" i="17"/>
  <c r="W35" i="17"/>
  <c r="N35" i="17"/>
  <c r="M35" i="17"/>
  <c r="V35" i="17"/>
  <c r="Z36" i="17"/>
  <c r="Q36" i="17"/>
  <c r="E62" i="16"/>
  <c r="P45" i="17"/>
  <c r="D35" i="17"/>
  <c r="H48" i="17"/>
  <c r="H36" i="17"/>
  <c r="D47" i="17"/>
  <c r="F48" i="17"/>
  <c r="F36" i="17"/>
  <c r="H47" i="17"/>
  <c r="E48" i="17"/>
  <c r="E36" i="17"/>
  <c r="I57" i="17"/>
  <c r="G57" i="17" s="1"/>
  <c r="I48" i="17"/>
  <c r="G48" i="17" s="1"/>
  <c r="I36" i="17"/>
  <c r="G36" i="17" s="1"/>
  <c r="D48" i="17"/>
  <c r="D36" i="17"/>
  <c r="D34" i="17"/>
  <c r="K92" i="16"/>
  <c r="F39" i="17"/>
  <c r="L85" i="16"/>
  <c r="N85" i="16"/>
  <c r="F52" i="17"/>
  <c r="J49" i="16"/>
  <c r="K41" i="16"/>
  <c r="N38" i="16"/>
  <c r="K85" i="16"/>
  <c r="L50" i="16"/>
  <c r="J85" i="16"/>
  <c r="H38" i="16"/>
  <c r="J38" i="16"/>
  <c r="I38" i="16"/>
  <c r="K99" i="16"/>
  <c r="K50" i="16"/>
  <c r="K98" i="16"/>
  <c r="H85" i="16"/>
  <c r="I47" i="17"/>
  <c r="G47" i="17" s="1"/>
  <c r="K38" i="16"/>
  <c r="D33" i="17"/>
  <c r="S38" i="16"/>
  <c r="S85" i="16"/>
  <c r="O38" i="16"/>
  <c r="F45" i="17"/>
  <c r="K49" i="16"/>
  <c r="M38" i="16"/>
  <c r="L92" i="16"/>
  <c r="O85" i="16"/>
  <c r="M85" i="16"/>
  <c r="L49" i="16"/>
  <c r="L38" i="16"/>
  <c r="J50" i="16"/>
  <c r="L99" i="16"/>
  <c r="K45" i="16"/>
  <c r="L45" i="16"/>
  <c r="L41" i="16"/>
  <c r="L98" i="16"/>
  <c r="Q23" i="5"/>
  <c r="S92" i="16"/>
  <c r="J41" i="16"/>
  <c r="Q6" i="5"/>
  <c r="O99" i="16"/>
  <c r="N45" i="16"/>
  <c r="H92" i="16"/>
  <c r="N92" i="16"/>
  <c r="M41" i="16"/>
  <c r="S12" i="5"/>
  <c r="M50" i="16"/>
  <c r="O50" i="16"/>
  <c r="N50" i="16"/>
  <c r="S99" i="16"/>
  <c r="H99" i="16"/>
  <c r="H98" i="16"/>
  <c r="N99" i="16"/>
  <c r="H49" i="16"/>
  <c r="J92" i="16"/>
  <c r="N49" i="16"/>
  <c r="M49" i="16"/>
  <c r="S98" i="16"/>
  <c r="S49" i="16"/>
  <c r="S29" i="5"/>
  <c r="O41" i="16"/>
  <c r="O98" i="16"/>
  <c r="M92" i="16"/>
  <c r="H50" i="16"/>
  <c r="I41" i="16"/>
  <c r="J99" i="16"/>
  <c r="H45" i="16"/>
  <c r="M45" i="16"/>
  <c r="O45" i="16"/>
  <c r="J98" i="16"/>
  <c r="J45" i="16"/>
  <c r="H66" i="16"/>
  <c r="S41" i="16"/>
  <c r="N41" i="16"/>
  <c r="M99" i="16"/>
  <c r="S45" i="16"/>
  <c r="S50" i="16"/>
  <c r="N98" i="16"/>
  <c r="O49" i="16"/>
  <c r="O92" i="16"/>
  <c r="M98" i="16"/>
  <c r="H64" i="16"/>
  <c r="H41" i="16"/>
  <c r="S6" i="5"/>
  <c r="S21" i="5"/>
  <c r="S26" i="5"/>
  <c r="S24" i="5"/>
  <c r="S13" i="5"/>
  <c r="S18" i="5"/>
  <c r="S16" i="5"/>
  <c r="S27" i="5"/>
  <c r="S10" i="5"/>
  <c r="S8" i="5"/>
  <c r="S19" i="5"/>
  <c r="S11" i="5"/>
  <c r="S31" i="5"/>
  <c r="S30" i="5"/>
  <c r="S25" i="5"/>
  <c r="S23" i="5"/>
  <c r="S22" i="5"/>
  <c r="S28" i="5"/>
  <c r="S17" i="5"/>
  <c r="S15" i="5"/>
  <c r="S14" i="5"/>
  <c r="S20" i="5"/>
  <c r="S9" i="5"/>
  <c r="S7" i="5"/>
  <c r="P143" i="12"/>
  <c r="P144" i="12"/>
  <c r="P126" i="12"/>
  <c r="P138" i="12"/>
  <c r="P114" i="12"/>
  <c r="P120" i="12"/>
  <c r="P102" i="12"/>
  <c r="P108" i="12"/>
  <c r="P90" i="12"/>
  <c r="P96" i="12"/>
  <c r="P66" i="12"/>
  <c r="P84" i="12"/>
  <c r="P54" i="12"/>
  <c r="P60" i="12"/>
  <c r="P42" i="12"/>
  <c r="P48" i="12"/>
  <c r="P30" i="12"/>
  <c r="P36" i="12"/>
  <c r="P24" i="12"/>
  <c r="P12" i="12"/>
  <c r="J61" i="3"/>
  <c r="J60" i="3"/>
  <c r="J59" i="3"/>
  <c r="J58" i="3"/>
  <c r="J57" i="3"/>
  <c r="J67" i="3"/>
  <c r="J65" i="3"/>
  <c r="J64" i="3"/>
  <c r="J63" i="3"/>
  <c r="J73" i="3"/>
  <c r="J72" i="3"/>
  <c r="J71" i="3"/>
  <c r="J70" i="3"/>
  <c r="J69" i="3"/>
  <c r="J79" i="3"/>
  <c r="J77" i="3"/>
  <c r="J76" i="3"/>
  <c r="J75" i="3"/>
  <c r="J85" i="3"/>
  <c r="J84" i="3"/>
  <c r="C84" i="3" s="1"/>
  <c r="J83" i="3"/>
  <c r="J82" i="3"/>
  <c r="J81" i="3"/>
  <c r="J91" i="3"/>
  <c r="J89" i="3"/>
  <c r="J88" i="3"/>
  <c r="J87" i="3"/>
  <c r="J97" i="3"/>
  <c r="J95" i="3"/>
  <c r="J94" i="3"/>
  <c r="J93" i="3"/>
  <c r="J103" i="3"/>
  <c r="J101" i="3"/>
  <c r="J100" i="3"/>
  <c r="J99" i="3"/>
  <c r="J109" i="3"/>
  <c r="J107" i="3"/>
  <c r="J106" i="3"/>
  <c r="J105" i="3"/>
  <c r="J115" i="3"/>
  <c r="J114" i="3"/>
  <c r="J113" i="3"/>
  <c r="J112" i="3"/>
  <c r="J111" i="3"/>
  <c r="J121" i="3"/>
  <c r="J120" i="3"/>
  <c r="J119" i="3"/>
  <c r="J118" i="3"/>
  <c r="J117" i="3"/>
  <c r="J127" i="3"/>
  <c r="J125" i="3"/>
  <c r="J124" i="3"/>
  <c r="J123" i="3"/>
  <c r="J133" i="3"/>
  <c r="J132" i="3"/>
  <c r="J131" i="3"/>
  <c r="J130" i="3"/>
  <c r="J129" i="3"/>
  <c r="J139" i="3"/>
  <c r="J137" i="3"/>
  <c r="J136" i="3"/>
  <c r="J135" i="3"/>
  <c r="J145" i="3"/>
  <c r="J143" i="3"/>
  <c r="J142" i="3"/>
  <c r="J141" i="3"/>
  <c r="J151" i="3"/>
  <c r="J150" i="3"/>
  <c r="J148" i="3"/>
  <c r="J147" i="3"/>
  <c r="J157" i="3"/>
  <c r="J156" i="3"/>
  <c r="J155" i="3"/>
  <c r="J154" i="3"/>
  <c r="J153" i="3"/>
  <c r="J163" i="3"/>
  <c r="J162" i="3"/>
  <c r="J161" i="3"/>
  <c r="J160" i="3"/>
  <c r="J159" i="3"/>
  <c r="J55" i="3"/>
  <c r="J54" i="3"/>
  <c r="J53" i="3"/>
  <c r="J52" i="3"/>
  <c r="J51" i="3"/>
  <c r="J49" i="3"/>
  <c r="J48" i="3"/>
  <c r="J47" i="3"/>
  <c r="J46" i="3"/>
  <c r="J45" i="3"/>
  <c r="J43" i="3"/>
  <c r="J42" i="3"/>
  <c r="J41" i="3"/>
  <c r="J40" i="3"/>
  <c r="J39" i="3"/>
  <c r="J31" i="3"/>
  <c r="J30" i="3"/>
  <c r="J29" i="3"/>
  <c r="J28" i="3"/>
  <c r="J27" i="3"/>
  <c r="J25" i="3"/>
  <c r="J24" i="3"/>
  <c r="J23" i="3"/>
  <c r="J22" i="3"/>
  <c r="J21" i="3"/>
  <c r="J19" i="3"/>
  <c r="C19" i="3" s="1"/>
  <c r="J18" i="3"/>
  <c r="J17" i="3"/>
  <c r="J16" i="3"/>
  <c r="J15" i="3"/>
  <c r="D81" i="3"/>
  <c r="E81" i="3" s="1"/>
  <c r="J37" i="3"/>
  <c r="J35" i="3"/>
  <c r="J34" i="3"/>
  <c r="J33" i="3"/>
  <c r="E159" i="3"/>
  <c r="D160" i="3"/>
  <c r="H160" i="3" s="1"/>
  <c r="D161" i="3"/>
  <c r="H161" i="3" s="1"/>
  <c r="D162" i="3"/>
  <c r="D163" i="3"/>
  <c r="D153" i="3"/>
  <c r="H153" i="3" s="1"/>
  <c r="D154" i="3"/>
  <c r="H154" i="3" s="1"/>
  <c r="D155" i="3"/>
  <c r="D156" i="3"/>
  <c r="G156" i="3" s="1"/>
  <c r="V156" i="3" s="1"/>
  <c r="D157" i="3"/>
  <c r="P157" i="3" s="1"/>
  <c r="W157" i="3" s="1"/>
  <c r="D147" i="3"/>
  <c r="E147" i="3" s="1"/>
  <c r="D148" i="3"/>
  <c r="H148" i="3" s="1"/>
  <c r="D149" i="3"/>
  <c r="H149" i="3" s="1"/>
  <c r="D150" i="3"/>
  <c r="G150" i="3" s="1"/>
  <c r="V150" i="3" s="1"/>
  <c r="D151" i="3"/>
  <c r="P151" i="3" s="1"/>
  <c r="W151" i="3" s="1"/>
  <c r="D141" i="3"/>
  <c r="F141" i="3" s="1"/>
  <c r="D142" i="3"/>
  <c r="H142" i="3" s="1"/>
  <c r="D143" i="3"/>
  <c r="G143" i="3" s="1"/>
  <c r="D144" i="3"/>
  <c r="G144" i="3" s="1"/>
  <c r="D145" i="3"/>
  <c r="F145" i="3" s="1"/>
  <c r="D135" i="3"/>
  <c r="H135" i="3" s="1"/>
  <c r="D136" i="3"/>
  <c r="H136" i="3" s="1"/>
  <c r="D137" i="3"/>
  <c r="H137" i="3" s="1"/>
  <c r="D138" i="3"/>
  <c r="H138" i="3" s="1"/>
  <c r="D139" i="3"/>
  <c r="E139" i="3" s="1"/>
  <c r="D129" i="3"/>
  <c r="H129" i="3" s="1"/>
  <c r="D130" i="3"/>
  <c r="H130" i="3" s="1"/>
  <c r="D131" i="3"/>
  <c r="H131" i="3" s="1"/>
  <c r="D132" i="3"/>
  <c r="G132" i="3" s="1"/>
  <c r="D133" i="3"/>
  <c r="P133" i="3" s="1"/>
  <c r="W133" i="3" s="1"/>
  <c r="D123" i="3"/>
  <c r="G123" i="3" s="1"/>
  <c r="D124" i="3"/>
  <c r="D125" i="3"/>
  <c r="H125" i="3" s="1"/>
  <c r="D126" i="3"/>
  <c r="G126" i="3" s="1"/>
  <c r="D127" i="3"/>
  <c r="D117" i="3"/>
  <c r="F117" i="3" s="1"/>
  <c r="D118" i="3"/>
  <c r="H118" i="3" s="1"/>
  <c r="D119" i="3"/>
  <c r="H119" i="3" s="1"/>
  <c r="D120" i="3"/>
  <c r="D121" i="3"/>
  <c r="P121" i="3" s="1"/>
  <c r="W121" i="3" s="1"/>
  <c r="D111" i="3"/>
  <c r="G111" i="3" s="1"/>
  <c r="D112" i="3"/>
  <c r="E112" i="3" s="1"/>
  <c r="D113" i="3"/>
  <c r="E113" i="3" s="1"/>
  <c r="D114" i="3"/>
  <c r="H114" i="3" s="1"/>
  <c r="D115" i="3"/>
  <c r="P115" i="3" s="1"/>
  <c r="W115" i="3" s="1"/>
  <c r="D105" i="3"/>
  <c r="E105" i="3" s="1"/>
  <c r="D106" i="3"/>
  <c r="D107" i="3"/>
  <c r="D108" i="3"/>
  <c r="H108" i="3" s="1"/>
  <c r="D109" i="3"/>
  <c r="D99" i="3"/>
  <c r="E99" i="3" s="1"/>
  <c r="D100" i="3"/>
  <c r="H100" i="3" s="1"/>
  <c r="D101" i="3"/>
  <c r="H101" i="3" s="1"/>
  <c r="D102" i="3"/>
  <c r="G102" i="3" s="1"/>
  <c r="D103" i="3"/>
  <c r="D93" i="3"/>
  <c r="E93" i="3" s="1"/>
  <c r="D94" i="3"/>
  <c r="H94" i="3" s="1"/>
  <c r="D95" i="3"/>
  <c r="H95" i="3" s="1"/>
  <c r="D96" i="3"/>
  <c r="G96" i="3" s="1"/>
  <c r="D97" i="3"/>
  <c r="P97" i="3" s="1"/>
  <c r="W97" i="3" s="1"/>
  <c r="D87" i="3"/>
  <c r="F87" i="3" s="1"/>
  <c r="D88" i="3"/>
  <c r="D89" i="3"/>
  <c r="D90" i="3"/>
  <c r="H90" i="3" s="1"/>
  <c r="D91" i="3"/>
  <c r="D82" i="3"/>
  <c r="D83" i="3"/>
  <c r="H83" i="3" s="1"/>
  <c r="D84" i="3"/>
  <c r="D85" i="3"/>
  <c r="J8" i="10"/>
  <c r="J9" i="10" s="1"/>
  <c r="D9" i="10"/>
  <c r="D10" i="10" s="1"/>
  <c r="D11" i="10" s="1"/>
  <c r="D12" i="10" s="1"/>
  <c r="E8" i="10"/>
  <c r="E9" i="10" s="1"/>
  <c r="I9" i="10"/>
  <c r="I10" i="10" s="1"/>
  <c r="I11" i="10" s="1"/>
  <c r="D75" i="3"/>
  <c r="H75" i="3" s="1"/>
  <c r="D76" i="3"/>
  <c r="E76" i="3" s="1"/>
  <c r="D77" i="3"/>
  <c r="H77" i="3" s="1"/>
  <c r="D78" i="3"/>
  <c r="H78" i="3" s="1"/>
  <c r="D79" i="3"/>
  <c r="D73" i="3"/>
  <c r="F73" i="3" s="1"/>
  <c r="D72" i="3"/>
  <c r="G72" i="3" s="1"/>
  <c r="D71" i="3"/>
  <c r="H71" i="3" s="1"/>
  <c r="D70" i="3"/>
  <c r="F70" i="3" s="1"/>
  <c r="O163" i="3"/>
  <c r="M163" i="3"/>
  <c r="L163" i="3"/>
  <c r="O162" i="3"/>
  <c r="M162" i="3"/>
  <c r="L162" i="3"/>
  <c r="O161" i="3"/>
  <c r="M161" i="3"/>
  <c r="L161" i="3"/>
  <c r="M160" i="3"/>
  <c r="L160" i="3"/>
  <c r="M159" i="3"/>
  <c r="L159" i="3"/>
  <c r="O157" i="3"/>
  <c r="M157" i="3"/>
  <c r="L157" i="3"/>
  <c r="O156" i="3"/>
  <c r="M156" i="3"/>
  <c r="L156" i="3"/>
  <c r="O155" i="3"/>
  <c r="M155" i="3"/>
  <c r="L155" i="3"/>
  <c r="M154" i="3"/>
  <c r="L154" i="3"/>
  <c r="M153" i="3"/>
  <c r="L153" i="3"/>
  <c r="O151" i="3"/>
  <c r="M151" i="3"/>
  <c r="L151" i="3"/>
  <c r="O150" i="3"/>
  <c r="M150" i="3"/>
  <c r="L150" i="3"/>
  <c r="M149" i="3"/>
  <c r="L149" i="3"/>
  <c r="M148" i="3"/>
  <c r="L148" i="3"/>
  <c r="M147" i="3"/>
  <c r="L147" i="3"/>
  <c r="O145" i="3"/>
  <c r="M145" i="3"/>
  <c r="L145" i="3"/>
  <c r="M144" i="3"/>
  <c r="L144" i="3"/>
  <c r="M143" i="3"/>
  <c r="L143" i="3"/>
  <c r="M142" i="3"/>
  <c r="L142" i="3"/>
  <c r="M141" i="3"/>
  <c r="L141" i="3"/>
  <c r="O139" i="3"/>
  <c r="M139" i="3"/>
  <c r="L139" i="3"/>
  <c r="M138" i="3"/>
  <c r="L138" i="3"/>
  <c r="M137" i="3"/>
  <c r="L137" i="3"/>
  <c r="M136" i="3"/>
  <c r="L136" i="3"/>
  <c r="M135" i="3"/>
  <c r="L135" i="3"/>
  <c r="O133" i="3"/>
  <c r="M133" i="3"/>
  <c r="L133" i="3"/>
  <c r="M132" i="3"/>
  <c r="L132" i="3"/>
  <c r="M131" i="3"/>
  <c r="L131" i="3"/>
  <c r="M130" i="3"/>
  <c r="L130" i="3"/>
  <c r="M129" i="3"/>
  <c r="L129" i="3"/>
  <c r="O127" i="3"/>
  <c r="M127" i="3"/>
  <c r="L127" i="3"/>
  <c r="M126" i="3"/>
  <c r="L126" i="3"/>
  <c r="M125" i="3"/>
  <c r="L125" i="3"/>
  <c r="M124" i="3"/>
  <c r="L124" i="3"/>
  <c r="M123" i="3"/>
  <c r="L123" i="3"/>
  <c r="O121" i="3"/>
  <c r="M121" i="3"/>
  <c r="L121" i="3"/>
  <c r="M120" i="3"/>
  <c r="L120" i="3"/>
  <c r="M119" i="3"/>
  <c r="L119" i="3"/>
  <c r="M118" i="3"/>
  <c r="L118" i="3"/>
  <c r="M117" i="3"/>
  <c r="L117" i="3"/>
  <c r="O115" i="3"/>
  <c r="M115" i="3"/>
  <c r="L115" i="3"/>
  <c r="M114" i="3"/>
  <c r="L114" i="3"/>
  <c r="M113" i="3"/>
  <c r="L113" i="3"/>
  <c r="M112" i="3"/>
  <c r="L112" i="3"/>
  <c r="M111" i="3"/>
  <c r="L111" i="3"/>
  <c r="O109" i="3"/>
  <c r="M109" i="3"/>
  <c r="L109" i="3"/>
  <c r="M108" i="3"/>
  <c r="L108" i="3"/>
  <c r="M107" i="3"/>
  <c r="L107" i="3"/>
  <c r="M106" i="3"/>
  <c r="L106" i="3"/>
  <c r="M105" i="3"/>
  <c r="L105" i="3"/>
  <c r="O103" i="3"/>
  <c r="M103" i="3"/>
  <c r="L103" i="3"/>
  <c r="M102" i="3"/>
  <c r="L102" i="3"/>
  <c r="M101" i="3"/>
  <c r="L101" i="3"/>
  <c r="M100" i="3"/>
  <c r="L100" i="3"/>
  <c r="M99" i="3"/>
  <c r="L99" i="3"/>
  <c r="O97" i="3"/>
  <c r="M97" i="3"/>
  <c r="L97" i="3"/>
  <c r="M96" i="3"/>
  <c r="L96" i="3"/>
  <c r="M95" i="3"/>
  <c r="L95" i="3"/>
  <c r="M94" i="3"/>
  <c r="L94" i="3"/>
  <c r="M93" i="3"/>
  <c r="L93" i="3"/>
  <c r="O91" i="3"/>
  <c r="M91" i="3"/>
  <c r="L91" i="3"/>
  <c r="M90" i="3"/>
  <c r="L90" i="3"/>
  <c r="M89" i="3"/>
  <c r="L89" i="3"/>
  <c r="M88" i="3"/>
  <c r="L88" i="3"/>
  <c r="M87" i="3"/>
  <c r="L87" i="3"/>
  <c r="O85" i="3"/>
  <c r="M85" i="3"/>
  <c r="L85" i="3"/>
  <c r="O84" i="3"/>
  <c r="M84" i="3"/>
  <c r="L84" i="3"/>
  <c r="M83" i="3"/>
  <c r="L83" i="3"/>
  <c r="M82" i="3"/>
  <c r="L82" i="3"/>
  <c r="M81" i="3"/>
  <c r="L81" i="3"/>
  <c r="O79" i="3"/>
  <c r="M79" i="3"/>
  <c r="L79" i="3"/>
  <c r="M78" i="3"/>
  <c r="L78" i="3"/>
  <c r="M77" i="3"/>
  <c r="L77" i="3"/>
  <c r="M76" i="3"/>
  <c r="L76" i="3"/>
  <c r="M75" i="3"/>
  <c r="L75" i="3"/>
  <c r="D69" i="3"/>
  <c r="E69" i="3" s="1"/>
  <c r="D63" i="3"/>
  <c r="H63" i="3" s="1"/>
  <c r="D64" i="3"/>
  <c r="F64" i="3" s="1"/>
  <c r="D65" i="3"/>
  <c r="H65" i="3" s="1"/>
  <c r="D66" i="3"/>
  <c r="G66" i="3" s="1"/>
  <c r="D67" i="3"/>
  <c r="P67" i="3" s="1"/>
  <c r="W67" i="3" s="1"/>
  <c r="E21" i="10"/>
  <c r="D61" i="3"/>
  <c r="D60" i="3"/>
  <c r="H60" i="3" s="1"/>
  <c r="D59" i="3"/>
  <c r="H59" i="3" s="1"/>
  <c r="D58" i="3"/>
  <c r="D57" i="3"/>
  <c r="E57" i="3" s="1"/>
  <c r="O73" i="3"/>
  <c r="M73" i="3"/>
  <c r="L73" i="3"/>
  <c r="M72" i="3"/>
  <c r="L72" i="3"/>
  <c r="M71" i="3"/>
  <c r="L71" i="3"/>
  <c r="M70" i="3"/>
  <c r="L70" i="3"/>
  <c r="M69" i="3"/>
  <c r="L69" i="3"/>
  <c r="E74" i="3"/>
  <c r="O67" i="3"/>
  <c r="M67" i="3"/>
  <c r="L67" i="3"/>
  <c r="M66" i="3"/>
  <c r="L66" i="3"/>
  <c r="M65" i="3"/>
  <c r="L65" i="3"/>
  <c r="M64" i="3"/>
  <c r="L64" i="3"/>
  <c r="M63" i="3"/>
  <c r="L63" i="3"/>
  <c r="O61" i="3"/>
  <c r="M61" i="3"/>
  <c r="L61" i="3"/>
  <c r="M60" i="3"/>
  <c r="L60" i="3"/>
  <c r="M59" i="3"/>
  <c r="L59" i="3"/>
  <c r="M58" i="3"/>
  <c r="L58" i="3"/>
  <c r="M57" i="3"/>
  <c r="L57" i="3"/>
  <c r="D55" i="3"/>
  <c r="F55" i="3" s="1"/>
  <c r="D54" i="3"/>
  <c r="G54" i="3" s="1"/>
  <c r="D53" i="3"/>
  <c r="H53" i="3" s="1"/>
  <c r="D52" i="3"/>
  <c r="E52" i="3" s="1"/>
  <c r="D51" i="3"/>
  <c r="H51" i="3" s="1"/>
  <c r="O55" i="3"/>
  <c r="M55" i="3"/>
  <c r="L55" i="3"/>
  <c r="M54" i="3"/>
  <c r="L54" i="3"/>
  <c r="M53" i="3"/>
  <c r="L53" i="3"/>
  <c r="M52" i="3"/>
  <c r="L52" i="3"/>
  <c r="M51" i="3"/>
  <c r="L51" i="3"/>
  <c r="D49" i="3"/>
  <c r="F49" i="3" s="1"/>
  <c r="D48" i="3"/>
  <c r="G48" i="3" s="1"/>
  <c r="D47" i="3"/>
  <c r="H47" i="3" s="1"/>
  <c r="D46" i="3"/>
  <c r="F46" i="3" s="1"/>
  <c r="D45" i="3"/>
  <c r="H45" i="3" s="1"/>
  <c r="O49" i="3"/>
  <c r="M49" i="3"/>
  <c r="L49" i="3"/>
  <c r="M48" i="3"/>
  <c r="L48" i="3"/>
  <c r="M47" i="3"/>
  <c r="L47" i="3"/>
  <c r="M46" i="3"/>
  <c r="L46" i="3"/>
  <c r="M45" i="3"/>
  <c r="L45" i="3"/>
  <c r="D43" i="3"/>
  <c r="G43" i="3" s="1"/>
  <c r="D42" i="3"/>
  <c r="H42" i="3" s="1"/>
  <c r="D41" i="3"/>
  <c r="H41" i="3" s="1"/>
  <c r="D40" i="3"/>
  <c r="E40" i="3" s="1"/>
  <c r="D39" i="3"/>
  <c r="H39" i="3" s="1"/>
  <c r="D33" i="3"/>
  <c r="H33" i="3" s="1"/>
  <c r="O43" i="3"/>
  <c r="M43" i="3"/>
  <c r="L43" i="3"/>
  <c r="M42" i="3"/>
  <c r="L42" i="3"/>
  <c r="M41" i="3"/>
  <c r="L41" i="3"/>
  <c r="M40" i="3"/>
  <c r="L40" i="3"/>
  <c r="M39" i="3"/>
  <c r="L39" i="3"/>
  <c r="D37" i="3"/>
  <c r="F37" i="3" s="1"/>
  <c r="D36" i="3"/>
  <c r="D35" i="3"/>
  <c r="H35" i="3" s="1"/>
  <c r="D34" i="3"/>
  <c r="H34" i="3" s="1"/>
  <c r="O37" i="3"/>
  <c r="M37" i="3"/>
  <c r="L37" i="3"/>
  <c r="M36" i="3"/>
  <c r="L36" i="3"/>
  <c r="M35" i="3"/>
  <c r="L35" i="3"/>
  <c r="M34" i="3"/>
  <c r="L34" i="3"/>
  <c r="M33" i="3"/>
  <c r="L33" i="3"/>
  <c r="E158" i="3"/>
  <c r="E152" i="3"/>
  <c r="E146" i="3"/>
  <c r="E140" i="3"/>
  <c r="E134" i="3"/>
  <c r="E128" i="3"/>
  <c r="E122" i="3"/>
  <c r="E116" i="3"/>
  <c r="E110" i="3"/>
  <c r="E104" i="3"/>
  <c r="E98" i="3"/>
  <c r="E92" i="3"/>
  <c r="E86" i="3"/>
  <c r="E80" i="3"/>
  <c r="E68" i="3"/>
  <c r="E62" i="3"/>
  <c r="E56" i="3"/>
  <c r="E50" i="3"/>
  <c r="E44" i="3"/>
  <c r="E38" i="3"/>
  <c r="E32" i="3"/>
  <c r="E26" i="3"/>
  <c r="E20" i="3"/>
  <c r="E14" i="3"/>
  <c r="E8" i="3"/>
  <c r="D25" i="3"/>
  <c r="D24" i="3"/>
  <c r="G24" i="3" s="1"/>
  <c r="D23" i="3"/>
  <c r="H23" i="3" s="1"/>
  <c r="D22" i="3"/>
  <c r="H22" i="3" s="1"/>
  <c r="D21" i="3"/>
  <c r="F21" i="3" s="1"/>
  <c r="H30" i="3"/>
  <c r="H29" i="3"/>
  <c r="H28" i="3"/>
  <c r="G27" i="3"/>
  <c r="O31" i="3"/>
  <c r="M31" i="3"/>
  <c r="L31" i="3"/>
  <c r="M30" i="3"/>
  <c r="L30" i="3"/>
  <c r="M29" i="3"/>
  <c r="L29" i="3"/>
  <c r="M28" i="3"/>
  <c r="L28" i="3"/>
  <c r="M27" i="3"/>
  <c r="L27" i="3"/>
  <c r="O25" i="3"/>
  <c r="M25" i="3"/>
  <c r="L25" i="3"/>
  <c r="O24" i="3"/>
  <c r="M24" i="3"/>
  <c r="L24" i="3"/>
  <c r="M23" i="3"/>
  <c r="L23" i="3"/>
  <c r="M22" i="3"/>
  <c r="L22" i="3"/>
  <c r="M21" i="3"/>
  <c r="L21" i="3"/>
  <c r="H10" i="3"/>
  <c r="O19" i="3"/>
  <c r="O18" i="3"/>
  <c r="M19" i="3"/>
  <c r="M18" i="3"/>
  <c r="M17" i="3"/>
  <c r="M16" i="3"/>
  <c r="M15" i="3"/>
  <c r="M10" i="3"/>
  <c r="M11" i="3"/>
  <c r="M12" i="3"/>
  <c r="M13" i="3"/>
  <c r="M9" i="3"/>
  <c r="F18" i="3"/>
  <c r="E17" i="3"/>
  <c r="F16" i="3"/>
  <c r="E15" i="3"/>
  <c r="F13" i="3"/>
  <c r="E12" i="3"/>
  <c r="F11" i="3"/>
  <c r="H9" i="3"/>
  <c r="M5" i="2"/>
  <c r="M8" i="2"/>
  <c r="M9" i="2"/>
  <c r="M10" i="2"/>
  <c r="M11" i="2"/>
  <c r="M12" i="2"/>
  <c r="M17" i="2"/>
  <c r="M23" i="2"/>
  <c r="E14" i="2"/>
  <c r="E15" i="2"/>
  <c r="E31" i="2"/>
  <c r="M24" i="2"/>
  <c r="J9" i="3"/>
  <c r="L9" i="3"/>
  <c r="J10" i="3"/>
  <c r="L10" i="3"/>
  <c r="J11" i="3"/>
  <c r="L11" i="3"/>
  <c r="L12" i="3"/>
  <c r="L13" i="3"/>
  <c r="L15" i="3"/>
  <c r="L16" i="3"/>
  <c r="L17" i="3"/>
  <c r="L18" i="3"/>
  <c r="L19" i="3"/>
  <c r="J12" i="3"/>
  <c r="J13" i="3"/>
  <c r="V102" i="16" l="1"/>
  <c r="F47" i="17"/>
  <c r="E47" i="17"/>
  <c r="V27" i="16"/>
  <c r="V18" i="16"/>
  <c r="V52" i="16"/>
  <c r="U8" i="12"/>
  <c r="W8" i="12" s="1"/>
  <c r="W9" i="12"/>
  <c r="W17" i="12"/>
  <c r="P15" i="16" s="1"/>
  <c r="W25" i="12"/>
  <c r="W33" i="12"/>
  <c r="W41" i="12"/>
  <c r="W49" i="12"/>
  <c r="W57" i="12"/>
  <c r="W65" i="12"/>
  <c r="W73" i="12"/>
  <c r="W81" i="12"/>
  <c r="P53" i="16" s="1"/>
  <c r="W89" i="12"/>
  <c r="P60" i="16" s="1"/>
  <c r="W97" i="12"/>
  <c r="W105" i="12"/>
  <c r="P62" i="16" s="1"/>
  <c r="W113" i="12"/>
  <c r="P54" i="16" s="1"/>
  <c r="W121" i="12"/>
  <c r="W129" i="12"/>
  <c r="W137" i="12"/>
  <c r="W140" i="12"/>
  <c r="W21" i="12"/>
  <c r="P8" i="16" s="1"/>
  <c r="W37" i="12"/>
  <c r="W53" i="12"/>
  <c r="W69" i="12"/>
  <c r="W85" i="12"/>
  <c r="W101" i="12"/>
  <c r="W125" i="12"/>
  <c r="W141" i="12"/>
  <c r="W22" i="12"/>
  <c r="P26" i="16" s="1"/>
  <c r="W38" i="12"/>
  <c r="W54" i="12"/>
  <c r="W78" i="12"/>
  <c r="W110" i="12"/>
  <c r="W134" i="12"/>
  <c r="W10" i="12"/>
  <c r="P111" i="16" s="1"/>
  <c r="W18" i="12"/>
  <c r="W26" i="12"/>
  <c r="P59" i="16" s="1"/>
  <c r="W34" i="12"/>
  <c r="P76" i="16" s="1"/>
  <c r="W42" i="12"/>
  <c r="W50" i="12"/>
  <c r="W58" i="12"/>
  <c r="P61" i="16" s="1"/>
  <c r="W66" i="12"/>
  <c r="W74" i="12"/>
  <c r="W82" i="12"/>
  <c r="W90" i="12"/>
  <c r="W98" i="12"/>
  <c r="W106" i="12"/>
  <c r="P37" i="16" s="1"/>
  <c r="W114" i="12"/>
  <c r="W122" i="12"/>
  <c r="W130" i="12"/>
  <c r="W138" i="12"/>
  <c r="W29" i="12"/>
  <c r="W109" i="12"/>
  <c r="W133" i="12"/>
  <c r="W30" i="12"/>
  <c r="W62" i="12"/>
  <c r="P27" i="16" s="1"/>
  <c r="W94" i="12"/>
  <c r="W118" i="12"/>
  <c r="W23" i="12"/>
  <c r="W47" i="12"/>
  <c r="W71" i="12"/>
  <c r="W87" i="12"/>
  <c r="W111" i="12"/>
  <c r="P17" i="16" s="1"/>
  <c r="W119" i="12"/>
  <c r="W135" i="12"/>
  <c r="W48" i="12"/>
  <c r="W56" i="12"/>
  <c r="W64" i="12"/>
  <c r="W72" i="12"/>
  <c r="W80" i="12"/>
  <c r="P112" i="16" s="1"/>
  <c r="W88" i="12"/>
  <c r="W96" i="12"/>
  <c r="W104" i="12"/>
  <c r="P101" i="16" s="1"/>
  <c r="W112" i="12"/>
  <c r="P113" i="16" s="1"/>
  <c r="W120" i="12"/>
  <c r="W128" i="12"/>
  <c r="P29" i="16" s="1"/>
  <c r="W136" i="12"/>
  <c r="W144" i="12"/>
  <c r="W11" i="12"/>
  <c r="W19" i="12"/>
  <c r="W27" i="12"/>
  <c r="W35" i="12"/>
  <c r="W43" i="12"/>
  <c r="W51" i="12"/>
  <c r="W59" i="12"/>
  <c r="W67" i="12"/>
  <c r="W75" i="12"/>
  <c r="P10" i="16" s="1"/>
  <c r="W83" i="12"/>
  <c r="P16" i="16" s="1"/>
  <c r="W91" i="12"/>
  <c r="W99" i="12"/>
  <c r="P13" i="16" s="1"/>
  <c r="W107" i="12"/>
  <c r="P88" i="16" s="1"/>
  <c r="W115" i="12"/>
  <c r="W123" i="12"/>
  <c r="W131" i="12"/>
  <c r="W139" i="12"/>
  <c r="W12" i="12"/>
  <c r="W20" i="12"/>
  <c r="P77" i="16" s="1"/>
  <c r="W28" i="12"/>
  <c r="W36" i="12"/>
  <c r="W44" i="12"/>
  <c r="W52" i="12"/>
  <c r="W60" i="12"/>
  <c r="W68" i="12"/>
  <c r="W76" i="12"/>
  <c r="P28" i="16" s="1"/>
  <c r="W84" i="12"/>
  <c r="W92" i="12"/>
  <c r="P114" i="16" s="1"/>
  <c r="W100" i="12"/>
  <c r="P64" i="16" s="1"/>
  <c r="W108" i="12"/>
  <c r="W116" i="12"/>
  <c r="P63" i="16" s="1"/>
  <c r="W124" i="12"/>
  <c r="P30" i="16" s="1"/>
  <c r="W132" i="12"/>
  <c r="W13" i="12"/>
  <c r="W45" i="12"/>
  <c r="W61" i="12"/>
  <c r="W77" i="12"/>
  <c r="W93" i="12"/>
  <c r="P55" i="16" s="1"/>
  <c r="W117" i="12"/>
  <c r="P102" i="16" s="1"/>
  <c r="W14" i="12"/>
  <c r="W46" i="12"/>
  <c r="W70" i="12"/>
  <c r="W86" i="12"/>
  <c r="P91" i="16" s="1"/>
  <c r="W102" i="12"/>
  <c r="W126" i="12"/>
  <c r="W142" i="12"/>
  <c r="W15" i="12"/>
  <c r="P52" i="16" s="1"/>
  <c r="W31" i="12"/>
  <c r="W39" i="12"/>
  <c r="P58" i="16" s="1"/>
  <c r="W55" i="12"/>
  <c r="W63" i="12"/>
  <c r="W79" i="12"/>
  <c r="W95" i="12"/>
  <c r="P18" i="16" s="1"/>
  <c r="W103" i="12"/>
  <c r="W127" i="12"/>
  <c r="W143" i="12"/>
  <c r="W16" i="12"/>
  <c r="W24" i="12"/>
  <c r="W32" i="12"/>
  <c r="P25" i="16" s="1"/>
  <c r="W40" i="12"/>
  <c r="E122" i="16"/>
  <c r="E17" i="16"/>
  <c r="E95" i="16"/>
  <c r="V76" i="16"/>
  <c r="V90" i="16"/>
  <c r="V82" i="16"/>
  <c r="V39" i="16"/>
  <c r="E56" i="16"/>
  <c r="E23" i="16"/>
  <c r="Y31" i="5"/>
  <c r="Y6" i="5"/>
  <c r="Y28" i="5"/>
  <c r="Y29" i="5"/>
  <c r="Y26" i="5"/>
  <c r="Y20" i="5"/>
  <c r="Y23" i="5"/>
  <c r="Y18" i="5"/>
  <c r="Y32" i="5"/>
  <c r="Y15" i="5"/>
  <c r="Y10" i="5"/>
  <c r="Y24" i="5"/>
  <c r="Y7" i="5"/>
  <c r="Y27" i="5"/>
  <c r="Y33" i="5"/>
  <c r="Y16" i="5"/>
  <c r="Y30" i="5"/>
  <c r="Y19" i="5"/>
  <c r="Y25" i="5"/>
  <c r="Y8" i="5"/>
  <c r="Y22" i="5"/>
  <c r="Y11" i="5"/>
  <c r="Y17" i="5"/>
  <c r="Y21" i="5"/>
  <c r="Y14" i="5"/>
  <c r="Y13" i="5"/>
  <c r="Y9" i="5"/>
  <c r="Y12" i="5"/>
  <c r="U6" i="5"/>
  <c r="E44" i="16"/>
  <c r="E57" i="17"/>
  <c r="A57" i="17"/>
  <c r="D57" i="17"/>
  <c r="O46" i="17"/>
  <c r="R46" i="17"/>
  <c r="P46" i="17" s="1"/>
  <c r="N33" i="17"/>
  <c r="Q46" i="17"/>
  <c r="M46" i="17"/>
  <c r="M33" i="17"/>
  <c r="N46" i="17"/>
  <c r="J46" i="17"/>
  <c r="O33" i="17"/>
  <c r="R33" i="17"/>
  <c r="P33" i="17" s="1"/>
  <c r="J33" i="17"/>
  <c r="E108" i="16"/>
  <c r="E118" i="16"/>
  <c r="W23" i="5"/>
  <c r="W18" i="5"/>
  <c r="W28" i="5"/>
  <c r="W30" i="5"/>
  <c r="V32" i="5"/>
  <c r="X11" i="5"/>
  <c r="X19" i="5"/>
  <c r="X24" i="5"/>
  <c r="W22" i="5"/>
  <c r="X20" i="5"/>
  <c r="X15" i="5"/>
  <c r="W29" i="5"/>
  <c r="X10" i="5"/>
  <c r="X28" i="5"/>
  <c r="W9" i="5"/>
  <c r="U17" i="5"/>
  <c r="X21" i="5"/>
  <c r="X33" i="5"/>
  <c r="X7" i="5"/>
  <c r="X22" i="5"/>
  <c r="X23" i="5"/>
  <c r="X12" i="5"/>
  <c r="V24" i="5"/>
  <c r="X18" i="5"/>
  <c r="X31" i="5"/>
  <c r="V18" i="5"/>
  <c r="X8" i="5"/>
  <c r="X30" i="5"/>
  <c r="V15" i="5"/>
  <c r="X26" i="5"/>
  <c r="X16" i="5"/>
  <c r="X13" i="5"/>
  <c r="X9" i="5"/>
  <c r="X17" i="5"/>
  <c r="X29" i="5"/>
  <c r="X25" i="5"/>
  <c r="X14" i="5"/>
  <c r="X6" i="5"/>
  <c r="X27" i="5"/>
  <c r="X32" i="5"/>
  <c r="V33" i="5"/>
  <c r="U20" i="5"/>
  <c r="U18" i="5"/>
  <c r="U27" i="5"/>
  <c r="V31" i="5"/>
  <c r="V17" i="5"/>
  <c r="V23" i="5"/>
  <c r="V10" i="5"/>
  <c r="W14" i="5"/>
  <c r="W16" i="5"/>
  <c r="W25" i="5"/>
  <c r="W13" i="5"/>
  <c r="U22" i="5"/>
  <c r="U28" i="5"/>
  <c r="U8" i="5"/>
  <c r="U9" i="5"/>
  <c r="V20" i="5"/>
  <c r="V27" i="5"/>
  <c r="V26" i="5"/>
  <c r="U19" i="5"/>
  <c r="U15" i="5"/>
  <c r="U24" i="5"/>
  <c r="V29" i="5"/>
  <c r="V16" i="5"/>
  <c r="V30" i="5"/>
  <c r="W8" i="5"/>
  <c r="W7" i="5"/>
  <c r="W26" i="5"/>
  <c r="U10" i="5"/>
  <c r="U14" i="5"/>
  <c r="U31" i="5"/>
  <c r="U21" i="5"/>
  <c r="V9" i="5"/>
  <c r="V25" i="5"/>
  <c r="V12" i="5"/>
  <c r="W21" i="5"/>
  <c r="W10" i="5"/>
  <c r="W12" i="5"/>
  <c r="U11" i="5"/>
  <c r="U30" i="5"/>
  <c r="U12" i="5"/>
  <c r="U33" i="5"/>
  <c r="V11" i="5"/>
  <c r="V14" i="5"/>
  <c r="V22" i="5"/>
  <c r="V28" i="5"/>
  <c r="W15" i="5"/>
  <c r="W11" i="5"/>
  <c r="W32" i="5"/>
  <c r="V19" i="5"/>
  <c r="U23" i="5"/>
  <c r="U16" i="5"/>
  <c r="U25" i="5"/>
  <c r="U32" i="5"/>
  <c r="V6" i="5"/>
  <c r="V13" i="5"/>
  <c r="V21" i="5"/>
  <c r="W19" i="5"/>
  <c r="W31" i="5"/>
  <c r="W27" i="5"/>
  <c r="W33" i="5"/>
  <c r="U7" i="5"/>
  <c r="U13" i="5"/>
  <c r="U26" i="5"/>
  <c r="V7" i="5"/>
  <c r="V8" i="5"/>
  <c r="W17" i="5"/>
  <c r="W20" i="5"/>
  <c r="W24" i="5"/>
  <c r="W6" i="5"/>
  <c r="U29" i="5"/>
  <c r="A46" i="17"/>
  <c r="E36" i="16"/>
  <c r="E119" i="16"/>
  <c r="V89" i="16"/>
  <c r="M41" i="17"/>
  <c r="E113" i="16"/>
  <c r="E31" i="16"/>
  <c r="N53" i="17"/>
  <c r="Q53" i="17"/>
  <c r="M53" i="17"/>
  <c r="O41" i="17"/>
  <c r="O53" i="17"/>
  <c r="R41" i="17"/>
  <c r="P41" i="17" s="1"/>
  <c r="R53" i="17"/>
  <c r="P53" i="17" s="1"/>
  <c r="N41" i="17"/>
  <c r="Q41" i="17"/>
  <c r="Y61" i="17"/>
  <c r="F46" i="17"/>
  <c r="E40" i="17"/>
  <c r="V63" i="16"/>
  <c r="H46" i="17"/>
  <c r="H53" i="17"/>
  <c r="H40" i="17"/>
  <c r="V62" i="16"/>
  <c r="V67" i="16"/>
  <c r="I40" i="17"/>
  <c r="G40" i="17" s="1"/>
  <c r="V75" i="16"/>
  <c r="F53" i="17"/>
  <c r="V47" i="16"/>
  <c r="E46" i="17"/>
  <c r="I53" i="17"/>
  <c r="G53" i="17" s="1"/>
  <c r="E53" i="17"/>
  <c r="F40" i="17"/>
  <c r="I46" i="17"/>
  <c r="G46" i="17" s="1"/>
  <c r="R48" i="3"/>
  <c r="Q48" i="3"/>
  <c r="R54" i="3"/>
  <c r="Q54" i="3"/>
  <c r="R132" i="3"/>
  <c r="Q132" i="3"/>
  <c r="R96" i="3"/>
  <c r="Q96" i="3"/>
  <c r="R144" i="3"/>
  <c r="Q144" i="3"/>
  <c r="R27" i="3"/>
  <c r="Q27" i="3"/>
  <c r="R66" i="3"/>
  <c r="Q66" i="3"/>
  <c r="R126" i="3"/>
  <c r="Q126" i="3"/>
  <c r="R143" i="3"/>
  <c r="Q143" i="3"/>
  <c r="V24" i="3"/>
  <c r="R24" i="3"/>
  <c r="Q24" i="3"/>
  <c r="V43" i="3"/>
  <c r="R43" i="3"/>
  <c r="Q43" i="3"/>
  <c r="R111" i="3"/>
  <c r="Q111" i="3"/>
  <c r="R123" i="3"/>
  <c r="Q123" i="3"/>
  <c r="R102" i="3"/>
  <c r="Q102" i="3"/>
  <c r="R72" i="3"/>
  <c r="Q72" i="3"/>
  <c r="K35" i="17"/>
  <c r="T35" i="17"/>
  <c r="D46" i="17"/>
  <c r="P17" i="12"/>
  <c r="V17" i="12" s="1"/>
  <c r="V48" i="12"/>
  <c r="V42" i="12"/>
  <c r="V102" i="12"/>
  <c r="V108" i="12"/>
  <c r="V60" i="12"/>
  <c r="V120" i="12"/>
  <c r="V30" i="12"/>
  <c r="V143" i="12"/>
  <c r="V54" i="12"/>
  <c r="V114" i="12"/>
  <c r="V90" i="12"/>
  <c r="V12" i="12"/>
  <c r="V84" i="12"/>
  <c r="V138" i="12"/>
  <c r="V24" i="12"/>
  <c r="V66" i="12"/>
  <c r="V126" i="12"/>
  <c r="V36" i="12"/>
  <c r="V96" i="12"/>
  <c r="V144" i="12"/>
  <c r="P101" i="12"/>
  <c r="P100" i="12"/>
  <c r="P99" i="12"/>
  <c r="P98" i="12"/>
  <c r="P26" i="12"/>
  <c r="P27" i="12"/>
  <c r="P40" i="12"/>
  <c r="P81" i="12"/>
  <c r="P15" i="12"/>
  <c r="P113" i="12"/>
  <c r="P88" i="12"/>
  <c r="P34" i="12"/>
  <c r="P118" i="12"/>
  <c r="P76" i="12"/>
  <c r="P9" i="12"/>
  <c r="P35" i="12"/>
  <c r="P20" i="12"/>
  <c r="P136" i="12"/>
  <c r="P87" i="12"/>
  <c r="P128" i="12"/>
  <c r="P116" i="12"/>
  <c r="P70" i="12"/>
  <c r="P123" i="12"/>
  <c r="P134" i="12"/>
  <c r="P29" i="12"/>
  <c r="P77" i="12"/>
  <c r="P23" i="12"/>
  <c r="P137" i="12"/>
  <c r="P92" i="12"/>
  <c r="P69" i="12"/>
  <c r="P135" i="12"/>
  <c r="P58" i="12"/>
  <c r="P74" i="12"/>
  <c r="P50" i="12"/>
  <c r="P122" i="12"/>
  <c r="P33" i="12"/>
  <c r="P32" i="12"/>
  <c r="P47" i="12"/>
  <c r="P95" i="12"/>
  <c r="P10" i="12"/>
  <c r="P141" i="12"/>
  <c r="P21" i="12"/>
  <c r="P94" i="12"/>
  <c r="P38" i="12"/>
  <c r="P112" i="12"/>
  <c r="P142" i="12"/>
  <c r="P68" i="12"/>
  <c r="P41" i="12"/>
  <c r="P89" i="12"/>
  <c r="P46" i="12"/>
  <c r="P51" i="12"/>
  <c r="P82" i="12"/>
  <c r="P130" i="12"/>
  <c r="P45" i="12"/>
  <c r="P11" i="12"/>
  <c r="P59" i="12"/>
  <c r="P107" i="12"/>
  <c r="P129" i="12"/>
  <c r="P86" i="12"/>
  <c r="P110" i="12"/>
  <c r="P63" i="12"/>
  <c r="P39" i="12"/>
  <c r="P80" i="12"/>
  <c r="P117" i="12"/>
  <c r="P104" i="12"/>
  <c r="P14" i="12"/>
  <c r="P53" i="12"/>
  <c r="P131" i="12"/>
  <c r="P124" i="12"/>
  <c r="P62" i="12"/>
  <c r="P28" i="12"/>
  <c r="P57" i="12"/>
  <c r="P65" i="12"/>
  <c r="P56" i="12"/>
  <c r="P93" i="12"/>
  <c r="P22" i="12"/>
  <c r="P83" i="12"/>
  <c r="P75" i="12"/>
  <c r="P119" i="12"/>
  <c r="P64" i="12"/>
  <c r="P44" i="12"/>
  <c r="P111" i="12"/>
  <c r="P106" i="12"/>
  <c r="P105" i="12"/>
  <c r="P52" i="12"/>
  <c r="P140" i="12"/>
  <c r="V140" i="12" s="1"/>
  <c r="P16" i="12"/>
  <c r="P71" i="12"/>
  <c r="P125" i="12"/>
  <c r="O123" i="3"/>
  <c r="O132" i="3"/>
  <c r="O96" i="3"/>
  <c r="V96" i="3"/>
  <c r="O144" i="3"/>
  <c r="O27" i="3"/>
  <c r="O66" i="3"/>
  <c r="V66" i="3"/>
  <c r="O126" i="3"/>
  <c r="O143" i="3"/>
  <c r="O54" i="3"/>
  <c r="V54" i="3"/>
  <c r="O102" i="3"/>
  <c r="V102" i="3"/>
  <c r="O111" i="3"/>
  <c r="O48" i="3"/>
  <c r="V48" i="3"/>
  <c r="O72" i="3"/>
  <c r="V72" i="3"/>
  <c r="G161" i="3"/>
  <c r="V161" i="3" s="1"/>
  <c r="G77" i="3"/>
  <c r="G101" i="3"/>
  <c r="E87" i="3"/>
  <c r="G87" i="3"/>
  <c r="E117" i="3"/>
  <c r="H97" i="3"/>
  <c r="E114" i="3"/>
  <c r="G113" i="3"/>
  <c r="F127" i="3"/>
  <c r="H144" i="3"/>
  <c r="H113" i="3"/>
  <c r="G127" i="3"/>
  <c r="H156" i="3"/>
  <c r="F115" i="3"/>
  <c r="F144" i="3"/>
  <c r="G115" i="3"/>
  <c r="F97" i="3"/>
  <c r="F114" i="3"/>
  <c r="G114" i="3"/>
  <c r="G67" i="3"/>
  <c r="F34" i="3"/>
  <c r="H87" i="3"/>
  <c r="H117" i="3"/>
  <c r="F101" i="3"/>
  <c r="H115" i="3"/>
  <c r="E115" i="3"/>
  <c r="F78" i="3"/>
  <c r="G133" i="3"/>
  <c r="F66" i="3"/>
  <c r="F125" i="3"/>
  <c r="G64" i="3"/>
  <c r="G60" i="3"/>
  <c r="E97" i="3"/>
  <c r="G93" i="3"/>
  <c r="G97" i="3"/>
  <c r="E125" i="3"/>
  <c r="H139" i="3"/>
  <c r="G69" i="3"/>
  <c r="H91" i="3"/>
  <c r="G108" i="3"/>
  <c r="H126" i="3"/>
  <c r="F69" i="3"/>
  <c r="H69" i="3"/>
  <c r="G91" i="3"/>
  <c r="F108" i="3"/>
  <c r="H111" i="3"/>
  <c r="F111" i="3"/>
  <c r="H143" i="3"/>
  <c r="N12" i="3"/>
  <c r="F63" i="3"/>
  <c r="H72" i="3"/>
  <c r="F42" i="3"/>
  <c r="E67" i="3"/>
  <c r="H93" i="3"/>
  <c r="G129" i="3"/>
  <c r="F143" i="3"/>
  <c r="F129" i="3"/>
  <c r="H157" i="3"/>
  <c r="G57" i="3"/>
  <c r="G90" i="3"/>
  <c r="H123" i="3"/>
  <c r="E49" i="3"/>
  <c r="G63" i="3"/>
  <c r="F57" i="3"/>
  <c r="E63" i="3"/>
  <c r="E151" i="3"/>
  <c r="E55" i="3"/>
  <c r="G125" i="3"/>
  <c r="F126" i="3"/>
  <c r="H31" i="3"/>
  <c r="G19" i="3"/>
  <c r="C18" i="3"/>
  <c r="N24" i="3"/>
  <c r="N40" i="3"/>
  <c r="N49" i="3"/>
  <c r="N161" i="3"/>
  <c r="N147" i="3"/>
  <c r="N144" i="3"/>
  <c r="N130" i="3"/>
  <c r="N127" i="3"/>
  <c r="N113" i="3"/>
  <c r="N99" i="3"/>
  <c r="N96" i="3"/>
  <c r="N82" i="3"/>
  <c r="N79" i="3"/>
  <c r="N65" i="3"/>
  <c r="N10" i="3"/>
  <c r="N16" i="3"/>
  <c r="N25" i="3"/>
  <c r="N41" i="3"/>
  <c r="N51" i="3"/>
  <c r="N162" i="3"/>
  <c r="N148" i="3"/>
  <c r="N145" i="3"/>
  <c r="N131" i="3"/>
  <c r="N117" i="3"/>
  <c r="N114" i="3"/>
  <c r="N100" i="3"/>
  <c r="N97" i="3"/>
  <c r="N83" i="3"/>
  <c r="N69" i="3"/>
  <c r="N66" i="3"/>
  <c r="N33" i="3"/>
  <c r="N17" i="3"/>
  <c r="N27" i="3"/>
  <c r="N42" i="3"/>
  <c r="N52" i="3"/>
  <c r="N163" i="3"/>
  <c r="N149" i="3"/>
  <c r="N135" i="3"/>
  <c r="N132" i="3"/>
  <c r="N118" i="3"/>
  <c r="N115" i="3"/>
  <c r="N101" i="3"/>
  <c r="N87" i="3"/>
  <c r="N84" i="3"/>
  <c r="N70" i="3"/>
  <c r="N67" i="3"/>
  <c r="N34" i="3"/>
  <c r="N18" i="3"/>
  <c r="N28" i="3"/>
  <c r="N43" i="3"/>
  <c r="N53" i="3"/>
  <c r="N153" i="3"/>
  <c r="N150" i="3"/>
  <c r="N136" i="3"/>
  <c r="N133" i="3"/>
  <c r="N119" i="3"/>
  <c r="N105" i="3"/>
  <c r="N102" i="3"/>
  <c r="N88" i="3"/>
  <c r="N85" i="3"/>
  <c r="N71" i="3"/>
  <c r="N57" i="3"/>
  <c r="N9" i="3"/>
  <c r="N35" i="3"/>
  <c r="N19" i="3"/>
  <c r="N29" i="3"/>
  <c r="N45" i="3"/>
  <c r="N54" i="3"/>
  <c r="N154" i="3"/>
  <c r="N151" i="3"/>
  <c r="N137" i="3"/>
  <c r="N123" i="3"/>
  <c r="N120" i="3"/>
  <c r="N106" i="3"/>
  <c r="N103" i="3"/>
  <c r="N89" i="3"/>
  <c r="N75" i="3"/>
  <c r="N72" i="3"/>
  <c r="N58" i="3"/>
  <c r="N13" i="3"/>
  <c r="N36" i="3"/>
  <c r="N21" i="3"/>
  <c r="N30" i="3"/>
  <c r="N46" i="3"/>
  <c r="N55" i="3"/>
  <c r="N155" i="3"/>
  <c r="N141" i="3"/>
  <c r="N138" i="3"/>
  <c r="N124" i="3"/>
  <c r="N121" i="3"/>
  <c r="N107" i="3"/>
  <c r="N93" i="3"/>
  <c r="N90" i="3"/>
  <c r="N76" i="3"/>
  <c r="N73" i="3"/>
  <c r="N59" i="3"/>
  <c r="N37" i="3"/>
  <c r="N22" i="3"/>
  <c r="N31" i="3"/>
  <c r="N47" i="3"/>
  <c r="N159" i="3"/>
  <c r="N156" i="3"/>
  <c r="N142" i="3"/>
  <c r="N139" i="3"/>
  <c r="N125" i="3"/>
  <c r="N111" i="3"/>
  <c r="N108" i="3"/>
  <c r="N94" i="3"/>
  <c r="N91" i="3"/>
  <c r="N77" i="3"/>
  <c r="N63" i="3"/>
  <c r="N60" i="3"/>
  <c r="N11" i="3"/>
  <c r="N23" i="3"/>
  <c r="N39" i="3"/>
  <c r="N48" i="3"/>
  <c r="N160" i="3"/>
  <c r="N157" i="3"/>
  <c r="N143" i="3"/>
  <c r="N129" i="3"/>
  <c r="N126" i="3"/>
  <c r="N112" i="3"/>
  <c r="N109" i="3"/>
  <c r="N95" i="3"/>
  <c r="N81" i="3"/>
  <c r="N78" i="3"/>
  <c r="N64" i="3"/>
  <c r="N61" i="3"/>
  <c r="N15" i="3"/>
  <c r="H120" i="3"/>
  <c r="H79" i="3"/>
  <c r="H141" i="3"/>
  <c r="H64" i="3"/>
  <c r="F88" i="3"/>
  <c r="H102" i="3"/>
  <c r="F123" i="3"/>
  <c r="E141" i="3"/>
  <c r="F151" i="3"/>
  <c r="E85" i="3"/>
  <c r="P85" i="3"/>
  <c r="W85" i="3" s="1"/>
  <c r="H67" i="3"/>
  <c r="F121" i="3"/>
  <c r="G84" i="3"/>
  <c r="F163" i="3"/>
  <c r="P163" i="3"/>
  <c r="W163" i="3" s="1"/>
  <c r="E103" i="3"/>
  <c r="P103" i="3"/>
  <c r="W103" i="3" s="1"/>
  <c r="G121" i="3"/>
  <c r="E145" i="3"/>
  <c r="P145" i="3"/>
  <c r="W145" i="3" s="1"/>
  <c r="H162" i="3"/>
  <c r="H121" i="3"/>
  <c r="F138" i="3"/>
  <c r="H155" i="3"/>
  <c r="H82" i="3"/>
  <c r="E106" i="3"/>
  <c r="G79" i="3"/>
  <c r="H124" i="3"/>
  <c r="E138" i="3"/>
  <c r="E109" i="3"/>
  <c r="H89" i="3"/>
  <c r="H107" i="3"/>
  <c r="F113" i="3"/>
  <c r="F120" i="3"/>
  <c r="H127" i="3"/>
  <c r="G138" i="3"/>
  <c r="F139" i="3"/>
  <c r="P139" i="3"/>
  <c r="W139" i="3" s="1"/>
  <c r="E61" i="3"/>
  <c r="P61" i="3"/>
  <c r="W61" i="3" s="1"/>
  <c r="H57" i="3"/>
  <c r="F61" i="3"/>
  <c r="E58" i="3"/>
  <c r="G61" i="3"/>
  <c r="H61" i="3"/>
  <c r="H54" i="3"/>
  <c r="G51" i="3"/>
  <c r="H55" i="3"/>
  <c r="H49" i="3"/>
  <c r="G34" i="3"/>
  <c r="G36" i="3"/>
  <c r="E37" i="3"/>
  <c r="P37" i="3"/>
  <c r="W37" i="3" s="1"/>
  <c r="E25" i="3"/>
  <c r="E163" i="3"/>
  <c r="G162" i="3"/>
  <c r="V162" i="3" s="1"/>
  <c r="H145" i="3"/>
  <c r="H109" i="3"/>
  <c r="G109" i="3"/>
  <c r="E17" i="10"/>
  <c r="E16" i="10"/>
  <c r="J10" i="10"/>
  <c r="E10" i="10"/>
  <c r="I12" i="10"/>
  <c r="F85" i="3"/>
  <c r="G137" i="3"/>
  <c r="E77" i="3"/>
  <c r="E78" i="3"/>
  <c r="C78" i="3" s="1"/>
  <c r="E79" i="3"/>
  <c r="F81" i="3"/>
  <c r="G85" i="3"/>
  <c r="E91" i="3"/>
  <c r="F130" i="3"/>
  <c r="E153" i="3"/>
  <c r="F77" i="3"/>
  <c r="G78" i="3"/>
  <c r="F79" i="3"/>
  <c r="G81" i="3"/>
  <c r="H84" i="3"/>
  <c r="F91" i="3"/>
  <c r="F93" i="3"/>
  <c r="E127" i="3"/>
  <c r="E129" i="3"/>
  <c r="E143" i="3"/>
  <c r="F147" i="3"/>
  <c r="F153" i="3"/>
  <c r="F99" i="3"/>
  <c r="E133" i="3"/>
  <c r="E135" i="3"/>
  <c r="H150" i="3"/>
  <c r="E156" i="3"/>
  <c r="F159" i="3"/>
  <c r="E75" i="3"/>
  <c r="F105" i="3"/>
  <c r="F75" i="3"/>
  <c r="H96" i="3"/>
  <c r="F103" i="3"/>
  <c r="G105" i="3"/>
  <c r="E120" i="3"/>
  <c r="E121" i="3"/>
  <c r="F133" i="3"/>
  <c r="F135" i="3"/>
  <c r="F149" i="3"/>
  <c r="E155" i="3"/>
  <c r="F156" i="3"/>
  <c r="E157" i="3"/>
  <c r="G75" i="3"/>
  <c r="H105" i="3"/>
  <c r="F109" i="3"/>
  <c r="E111" i="3"/>
  <c r="G120" i="3"/>
  <c r="E123" i="3"/>
  <c r="H133" i="3"/>
  <c r="G149" i="3"/>
  <c r="G155" i="3"/>
  <c r="V155" i="3" s="1"/>
  <c r="F157" i="3"/>
  <c r="F162" i="3"/>
  <c r="H73" i="3"/>
  <c r="E73" i="3"/>
  <c r="G159" i="3"/>
  <c r="E160" i="3"/>
  <c r="G163" i="3"/>
  <c r="V163" i="3" s="1"/>
  <c r="H159" i="3"/>
  <c r="F160" i="3"/>
  <c r="H163" i="3"/>
  <c r="G160" i="3"/>
  <c r="E161" i="3"/>
  <c r="F161" i="3"/>
  <c r="E162" i="3"/>
  <c r="G153" i="3"/>
  <c r="E154" i="3"/>
  <c r="G157" i="3"/>
  <c r="V157" i="3" s="1"/>
  <c r="F154" i="3"/>
  <c r="G154" i="3"/>
  <c r="F155" i="3"/>
  <c r="G147" i="3"/>
  <c r="E148" i="3"/>
  <c r="G151" i="3"/>
  <c r="V151" i="3" s="1"/>
  <c r="H147" i="3"/>
  <c r="F148" i="3"/>
  <c r="H151" i="3"/>
  <c r="G148" i="3"/>
  <c r="E149" i="3"/>
  <c r="E150" i="3"/>
  <c r="F150" i="3"/>
  <c r="G141" i="3"/>
  <c r="E142" i="3"/>
  <c r="G145" i="3"/>
  <c r="F142" i="3"/>
  <c r="G142" i="3"/>
  <c r="E144" i="3"/>
  <c r="G135" i="3"/>
  <c r="E136" i="3"/>
  <c r="G139" i="3"/>
  <c r="F136" i="3"/>
  <c r="G136" i="3"/>
  <c r="E137" i="3"/>
  <c r="F137" i="3"/>
  <c r="H132" i="3"/>
  <c r="E130" i="3"/>
  <c r="G130" i="3"/>
  <c r="E131" i="3"/>
  <c r="F131" i="3"/>
  <c r="G131" i="3"/>
  <c r="E132" i="3"/>
  <c r="F132" i="3"/>
  <c r="F124" i="3"/>
  <c r="G124" i="3"/>
  <c r="E124" i="3"/>
  <c r="E126" i="3"/>
  <c r="G117" i="3"/>
  <c r="E118" i="3"/>
  <c r="F118" i="3"/>
  <c r="G118" i="3"/>
  <c r="E119" i="3"/>
  <c r="F119" i="3"/>
  <c r="G119" i="3"/>
  <c r="F112" i="3"/>
  <c r="G112" i="3"/>
  <c r="H112" i="3"/>
  <c r="F106" i="3"/>
  <c r="G106" i="3"/>
  <c r="E107" i="3"/>
  <c r="H106" i="3"/>
  <c r="F107" i="3"/>
  <c r="G107" i="3"/>
  <c r="E108" i="3"/>
  <c r="C108" i="3" s="1"/>
  <c r="G99" i="3"/>
  <c r="E100" i="3"/>
  <c r="G103" i="3"/>
  <c r="H99" i="3"/>
  <c r="F100" i="3"/>
  <c r="H103" i="3"/>
  <c r="G100" i="3"/>
  <c r="E101" i="3"/>
  <c r="E102" i="3"/>
  <c r="C102" i="3" s="1"/>
  <c r="F102" i="3"/>
  <c r="F94" i="3"/>
  <c r="E94" i="3"/>
  <c r="G94" i="3"/>
  <c r="E95" i="3"/>
  <c r="F95" i="3"/>
  <c r="G95" i="3"/>
  <c r="E96" i="3"/>
  <c r="F96" i="3"/>
  <c r="G88" i="3"/>
  <c r="E89" i="3"/>
  <c r="E88" i="3"/>
  <c r="H88" i="3"/>
  <c r="F89" i="3"/>
  <c r="G89" i="3"/>
  <c r="E90" i="3"/>
  <c r="F90" i="3"/>
  <c r="H81" i="3"/>
  <c r="F82" i="3"/>
  <c r="H85" i="3"/>
  <c r="E82" i="3"/>
  <c r="G82" i="3"/>
  <c r="E83" i="3"/>
  <c r="F83" i="3"/>
  <c r="G83" i="3"/>
  <c r="E84" i="3"/>
  <c r="F84" i="3"/>
  <c r="F76" i="3"/>
  <c r="G76" i="3"/>
  <c r="H76" i="3"/>
  <c r="G73" i="3"/>
  <c r="E70" i="3"/>
  <c r="G70" i="3"/>
  <c r="E71" i="3"/>
  <c r="H70" i="3"/>
  <c r="F71" i="3"/>
  <c r="G71" i="3"/>
  <c r="E72" i="3"/>
  <c r="F72" i="3"/>
  <c r="H66" i="3"/>
  <c r="F67" i="3"/>
  <c r="E64" i="3"/>
  <c r="E65" i="3"/>
  <c r="F65" i="3"/>
  <c r="G65" i="3"/>
  <c r="E66" i="3"/>
  <c r="F58" i="3"/>
  <c r="H58" i="3"/>
  <c r="F59" i="3"/>
  <c r="G58" i="3"/>
  <c r="E59" i="3"/>
  <c r="G59" i="3"/>
  <c r="E60" i="3"/>
  <c r="F60" i="3"/>
  <c r="F54" i="3"/>
  <c r="G55" i="3"/>
  <c r="E51" i="3"/>
  <c r="F51" i="3"/>
  <c r="G52" i="3"/>
  <c r="E53" i="3"/>
  <c r="F52" i="3"/>
  <c r="H52" i="3"/>
  <c r="F53" i="3"/>
  <c r="G53" i="3"/>
  <c r="E54" i="3"/>
  <c r="F45" i="3"/>
  <c r="H48" i="3"/>
  <c r="F48" i="3"/>
  <c r="G45" i="3"/>
  <c r="G49" i="3"/>
  <c r="E45" i="3"/>
  <c r="G46" i="3"/>
  <c r="E47" i="3"/>
  <c r="H46" i="3"/>
  <c r="F47" i="3"/>
  <c r="E46" i="3"/>
  <c r="G47" i="3"/>
  <c r="E48" i="3"/>
  <c r="C48" i="3" s="1"/>
  <c r="E43" i="3"/>
  <c r="F43" i="3"/>
  <c r="H43" i="3"/>
  <c r="G42" i="3"/>
  <c r="E39" i="3"/>
  <c r="F39" i="3"/>
  <c r="G39" i="3"/>
  <c r="G33" i="3"/>
  <c r="G40" i="3"/>
  <c r="E41" i="3"/>
  <c r="H40" i="3"/>
  <c r="F41" i="3"/>
  <c r="F40" i="3"/>
  <c r="G41" i="3"/>
  <c r="E42" i="3"/>
  <c r="G37" i="3"/>
  <c r="H37" i="3"/>
  <c r="E33" i="3"/>
  <c r="F33" i="3"/>
  <c r="H36" i="3"/>
  <c r="E34" i="3"/>
  <c r="E35" i="3"/>
  <c r="G35" i="3"/>
  <c r="E36" i="3"/>
  <c r="C36" i="3" s="1"/>
  <c r="F35" i="3"/>
  <c r="F36" i="3"/>
  <c r="E31" i="3"/>
  <c r="F31" i="3"/>
  <c r="G31" i="3"/>
  <c r="G30" i="3"/>
  <c r="E30" i="3"/>
  <c r="H27" i="3"/>
  <c r="E27" i="3"/>
  <c r="F27" i="3"/>
  <c r="E28" i="3"/>
  <c r="F28" i="3"/>
  <c r="G28" i="3"/>
  <c r="E29" i="3"/>
  <c r="F29" i="3"/>
  <c r="G29" i="3"/>
  <c r="F30" i="3"/>
  <c r="F25" i="3"/>
  <c r="H24" i="3"/>
  <c r="H21" i="3"/>
  <c r="E21" i="3"/>
  <c r="G21" i="3"/>
  <c r="E22" i="3"/>
  <c r="G25" i="3"/>
  <c r="F22" i="3"/>
  <c r="H25" i="3"/>
  <c r="G22" i="3"/>
  <c r="E23" i="3"/>
  <c r="F23" i="3"/>
  <c r="G23" i="3"/>
  <c r="E24" i="3"/>
  <c r="F24" i="3"/>
  <c r="H12" i="3"/>
  <c r="E10" i="3"/>
  <c r="H13" i="3"/>
  <c r="H19" i="3"/>
  <c r="H18" i="3"/>
  <c r="H15" i="3"/>
  <c r="H16" i="3"/>
  <c r="H17" i="3"/>
  <c r="H11" i="3"/>
  <c r="E11" i="3"/>
  <c r="G9" i="3"/>
  <c r="F9" i="3"/>
  <c r="G10" i="3"/>
  <c r="G11" i="3"/>
  <c r="F10" i="3"/>
  <c r="G12" i="3"/>
  <c r="G13" i="3"/>
  <c r="G18" i="3"/>
  <c r="E13" i="3"/>
  <c r="G16" i="3"/>
  <c r="G17" i="3"/>
  <c r="E16" i="3"/>
  <c r="F17" i="3"/>
  <c r="E18" i="3"/>
  <c r="E19" i="3"/>
  <c r="F15" i="3"/>
  <c r="F19" i="3"/>
  <c r="G15" i="3"/>
  <c r="F12" i="3"/>
  <c r="P90" i="16" l="1"/>
  <c r="P89" i="16"/>
  <c r="P84" i="16"/>
  <c r="P85" i="16"/>
  <c r="P86" i="16"/>
  <c r="P87" i="16"/>
  <c r="P81" i="16"/>
  <c r="P79" i="16"/>
  <c r="P78" i="16"/>
  <c r="P80" i="16"/>
  <c r="P11" i="16"/>
  <c r="P7" i="16"/>
  <c r="J8" i="18" s="1"/>
  <c r="P9" i="16"/>
  <c r="P12" i="16"/>
  <c r="P8" i="12"/>
  <c r="V8" i="12" s="1"/>
  <c r="P36" i="16"/>
  <c r="P35" i="16"/>
  <c r="P34" i="16"/>
  <c r="P39" i="16"/>
  <c r="P38" i="16"/>
  <c r="P45" i="16"/>
  <c r="P33" i="16"/>
  <c r="P40" i="16"/>
  <c r="P100" i="16"/>
  <c r="P68" i="16"/>
  <c r="P69" i="16"/>
  <c r="P97" i="16"/>
  <c r="P66" i="16"/>
  <c r="P67" i="16"/>
  <c r="P99" i="16"/>
  <c r="P98" i="16"/>
  <c r="P109" i="16"/>
  <c r="P73" i="16"/>
  <c r="P43" i="16"/>
  <c r="P71" i="16"/>
  <c r="P41" i="16"/>
  <c r="P22" i="16"/>
  <c r="P94" i="16"/>
  <c r="P105" i="16"/>
  <c r="P123" i="16"/>
  <c r="P121" i="16"/>
  <c r="P103" i="16"/>
  <c r="P50" i="16"/>
  <c r="P119" i="16"/>
  <c r="P20" i="16"/>
  <c r="P92" i="16"/>
  <c r="P93" i="16"/>
  <c r="P21" i="16"/>
  <c r="P47" i="16"/>
  <c r="P116" i="16"/>
  <c r="P72" i="16"/>
  <c r="P42" i="16"/>
  <c r="P48" i="16"/>
  <c r="P117" i="16"/>
  <c r="P124" i="16"/>
  <c r="P106" i="16"/>
  <c r="P104" i="16"/>
  <c r="P122" i="16"/>
  <c r="P107" i="16"/>
  <c r="P125" i="16"/>
  <c r="P95" i="16"/>
  <c r="P23" i="16"/>
  <c r="P118" i="16"/>
  <c r="P49" i="16"/>
  <c r="P126" i="16"/>
  <c r="P108" i="16"/>
  <c r="P74" i="16"/>
  <c r="P44" i="16"/>
  <c r="V95" i="16"/>
  <c r="V17" i="16"/>
  <c r="V108" i="16"/>
  <c r="V122" i="16"/>
  <c r="P61" i="17"/>
  <c r="G61" i="17"/>
  <c r="R21" i="3"/>
  <c r="Q21" i="3"/>
  <c r="R41" i="3"/>
  <c r="Q41" i="3"/>
  <c r="R101" i="3"/>
  <c r="Q101" i="3"/>
  <c r="O60" i="3"/>
  <c r="R60" i="3"/>
  <c r="Q60" i="3"/>
  <c r="V115" i="3"/>
  <c r="R115" i="3"/>
  <c r="Q115" i="3"/>
  <c r="R129" i="3"/>
  <c r="Q129" i="3"/>
  <c r="V55" i="3"/>
  <c r="R55" i="3"/>
  <c r="Q55" i="3"/>
  <c r="R99" i="3"/>
  <c r="Q99" i="3"/>
  <c r="R131" i="3"/>
  <c r="Q131" i="3"/>
  <c r="R136" i="3"/>
  <c r="Q136" i="3"/>
  <c r="V145" i="3"/>
  <c r="R145" i="3"/>
  <c r="Q145" i="3"/>
  <c r="Q138" i="3"/>
  <c r="R138" i="3"/>
  <c r="R69" i="3"/>
  <c r="Q69" i="3"/>
  <c r="Q11" i="3"/>
  <c r="R11" i="3"/>
  <c r="R10" i="3"/>
  <c r="Q10" i="3"/>
  <c r="R28" i="3"/>
  <c r="Q28" i="3"/>
  <c r="V31" i="3"/>
  <c r="R31" i="3"/>
  <c r="Q31" i="3"/>
  <c r="R120" i="3"/>
  <c r="Q120" i="3"/>
  <c r="R51" i="3"/>
  <c r="Q51" i="3"/>
  <c r="R77" i="3"/>
  <c r="Q77" i="3"/>
  <c r="R16" i="3"/>
  <c r="Q16" i="3"/>
  <c r="Q106" i="3"/>
  <c r="R106" i="3"/>
  <c r="R81" i="3"/>
  <c r="Q81" i="3"/>
  <c r="Q9" i="3"/>
  <c r="R9" i="3"/>
  <c r="R70" i="3"/>
  <c r="Q70" i="3"/>
  <c r="R83" i="3"/>
  <c r="Q83" i="3"/>
  <c r="V84" i="3"/>
  <c r="R84" i="3"/>
  <c r="Q84" i="3"/>
  <c r="R63" i="3"/>
  <c r="Q63" i="3"/>
  <c r="V18" i="3"/>
  <c r="R18" i="3"/>
  <c r="Q18" i="3"/>
  <c r="R46" i="3"/>
  <c r="Q46" i="3"/>
  <c r="Q13" i="3"/>
  <c r="R13" i="3"/>
  <c r="Q40" i="3"/>
  <c r="R40" i="3"/>
  <c r="R95" i="3"/>
  <c r="Q95" i="3"/>
  <c r="R112" i="3"/>
  <c r="Q112" i="3"/>
  <c r="R117" i="3"/>
  <c r="Q117" i="3"/>
  <c r="R75" i="3"/>
  <c r="Q75" i="3"/>
  <c r="V109" i="3"/>
  <c r="R109" i="3"/>
  <c r="Q109" i="3"/>
  <c r="Q36" i="3"/>
  <c r="R36" i="3"/>
  <c r="V79" i="3"/>
  <c r="R79" i="3"/>
  <c r="Q79" i="3"/>
  <c r="R94" i="3"/>
  <c r="Q94" i="3"/>
  <c r="R124" i="3"/>
  <c r="Q124" i="3"/>
  <c r="R135" i="3"/>
  <c r="Q135" i="3"/>
  <c r="Q17" i="3"/>
  <c r="R17" i="3"/>
  <c r="R52" i="3"/>
  <c r="Q52" i="3"/>
  <c r="V85" i="3"/>
  <c r="R85" i="3"/>
  <c r="Q85" i="3"/>
  <c r="Q15" i="3"/>
  <c r="R15" i="3"/>
  <c r="Q42" i="3"/>
  <c r="R42" i="3"/>
  <c r="Q58" i="3"/>
  <c r="R58" i="3"/>
  <c r="R88" i="3"/>
  <c r="Q88" i="3"/>
  <c r="V103" i="3"/>
  <c r="R103" i="3"/>
  <c r="Q103" i="3"/>
  <c r="R118" i="3"/>
  <c r="Q118" i="3"/>
  <c r="R142" i="3"/>
  <c r="Q142" i="3"/>
  <c r="R108" i="3"/>
  <c r="Q108" i="3"/>
  <c r="R113" i="3"/>
  <c r="Q113" i="3"/>
  <c r="R22" i="3"/>
  <c r="Q22" i="3"/>
  <c r="V19" i="3"/>
  <c r="R19" i="3"/>
  <c r="Q19" i="3"/>
  <c r="R64" i="3"/>
  <c r="Q64" i="3"/>
  <c r="R53" i="3"/>
  <c r="Q53" i="3"/>
  <c r="R78" i="3"/>
  <c r="Q78" i="3"/>
  <c r="V61" i="3"/>
  <c r="R61" i="3"/>
  <c r="Q61" i="3"/>
  <c r="V73" i="3"/>
  <c r="R73" i="3"/>
  <c r="Q73" i="3"/>
  <c r="R89" i="3"/>
  <c r="Q89" i="3"/>
  <c r="R12" i="3"/>
  <c r="Q12" i="3"/>
  <c r="V25" i="3"/>
  <c r="R25" i="3"/>
  <c r="Q25" i="3"/>
  <c r="R29" i="3"/>
  <c r="Q29" i="3"/>
  <c r="V37" i="3"/>
  <c r="R37" i="3"/>
  <c r="Q37" i="3"/>
  <c r="R33" i="3"/>
  <c r="Q33" i="3"/>
  <c r="V49" i="3"/>
  <c r="R49" i="3"/>
  <c r="Q49" i="3"/>
  <c r="R82" i="3"/>
  <c r="Q82" i="3"/>
  <c r="R100" i="3"/>
  <c r="Q100" i="3"/>
  <c r="R107" i="3"/>
  <c r="Q107" i="3"/>
  <c r="V139" i="3"/>
  <c r="R139" i="3"/>
  <c r="Q139" i="3"/>
  <c r="R141" i="3"/>
  <c r="Q141" i="3"/>
  <c r="R105" i="3"/>
  <c r="Q105" i="3"/>
  <c r="R137" i="3"/>
  <c r="Q137" i="3"/>
  <c r="R34" i="3"/>
  <c r="Q34" i="3"/>
  <c r="V121" i="3"/>
  <c r="R121" i="3"/>
  <c r="Q121" i="3"/>
  <c r="R125" i="3"/>
  <c r="Q125" i="3"/>
  <c r="Q90" i="3"/>
  <c r="R90" i="3"/>
  <c r="V91" i="3"/>
  <c r="R91" i="3"/>
  <c r="Q91" i="3"/>
  <c r="V133" i="3"/>
  <c r="R133" i="3"/>
  <c r="Q133" i="3"/>
  <c r="V67" i="3"/>
  <c r="R67" i="3"/>
  <c r="Q67" i="3"/>
  <c r="V127" i="3"/>
  <c r="R127" i="3"/>
  <c r="Q127" i="3"/>
  <c r="R87" i="3"/>
  <c r="Q87" i="3"/>
  <c r="R23" i="3"/>
  <c r="Q23" i="3"/>
  <c r="R30" i="3"/>
  <c r="Q30" i="3"/>
  <c r="R59" i="3"/>
  <c r="Q59" i="3"/>
  <c r="R93" i="3"/>
  <c r="Q93" i="3"/>
  <c r="R35" i="3"/>
  <c r="Q35" i="3"/>
  <c r="R39" i="3"/>
  <c r="Q39" i="3"/>
  <c r="R47" i="3"/>
  <c r="Q47" i="3"/>
  <c r="R45" i="3"/>
  <c r="Q45" i="3"/>
  <c r="R65" i="3"/>
  <c r="Q65" i="3"/>
  <c r="R71" i="3"/>
  <c r="Q71" i="3"/>
  <c r="R76" i="3"/>
  <c r="Q76" i="3"/>
  <c r="R119" i="3"/>
  <c r="Q119" i="3"/>
  <c r="R130" i="3"/>
  <c r="Q130" i="3"/>
  <c r="R57" i="3"/>
  <c r="Q57" i="3"/>
  <c r="V97" i="3"/>
  <c r="R97" i="3"/>
  <c r="Q97" i="3"/>
  <c r="R114" i="3"/>
  <c r="Q114" i="3"/>
  <c r="V16" i="12"/>
  <c r="V28" i="12"/>
  <c r="V41" i="12"/>
  <c r="V58" i="12"/>
  <c r="V81" i="12"/>
  <c r="V39" i="12"/>
  <c r="V95" i="12"/>
  <c r="V123" i="12"/>
  <c r="V52" i="12"/>
  <c r="V83" i="12"/>
  <c r="V124" i="12"/>
  <c r="V63" i="12"/>
  <c r="V142" i="12"/>
  <c r="V47" i="12"/>
  <c r="V69" i="12"/>
  <c r="V70" i="12"/>
  <c r="V76" i="12"/>
  <c r="V27" i="12"/>
  <c r="V119" i="12"/>
  <c r="V80" i="12"/>
  <c r="V11" i="12"/>
  <c r="V10" i="12"/>
  <c r="V134" i="12"/>
  <c r="V35" i="12"/>
  <c r="V75" i="12"/>
  <c r="V62" i="12"/>
  <c r="V45" i="12"/>
  <c r="V68" i="12"/>
  <c r="V135" i="12"/>
  <c r="V9" i="12"/>
  <c r="V40" i="12"/>
  <c r="V105" i="12"/>
  <c r="V22" i="12"/>
  <c r="V131" i="12"/>
  <c r="V110" i="12"/>
  <c r="V130" i="12"/>
  <c r="V112" i="12"/>
  <c r="V32" i="12"/>
  <c r="V92" i="12"/>
  <c r="V116" i="12"/>
  <c r="V118" i="12"/>
  <c r="V26" i="12"/>
  <c r="V106" i="12"/>
  <c r="V53" i="12"/>
  <c r="V82" i="12"/>
  <c r="V33" i="12"/>
  <c r="V34" i="12"/>
  <c r="V111" i="12"/>
  <c r="V14" i="12"/>
  <c r="V94" i="12"/>
  <c r="V87" i="12"/>
  <c r="V125" i="12"/>
  <c r="V44" i="12"/>
  <c r="V65" i="12"/>
  <c r="V104" i="12"/>
  <c r="V107" i="12"/>
  <c r="V46" i="12"/>
  <c r="V21" i="12"/>
  <c r="V50" i="12"/>
  <c r="V77" i="12"/>
  <c r="V136" i="12"/>
  <c r="V113" i="12"/>
  <c r="V100" i="12"/>
  <c r="V93" i="12"/>
  <c r="V86" i="12"/>
  <c r="V38" i="12"/>
  <c r="V137" i="12"/>
  <c r="V128" i="12"/>
  <c r="V98" i="12"/>
  <c r="V56" i="12"/>
  <c r="V129" i="12"/>
  <c r="V51" i="12"/>
  <c r="V122" i="12"/>
  <c r="V23" i="12"/>
  <c r="V88" i="12"/>
  <c r="V99" i="12"/>
  <c r="V71" i="12"/>
  <c r="V64" i="12"/>
  <c r="V57" i="12"/>
  <c r="V117" i="12"/>
  <c r="V59" i="12"/>
  <c r="V89" i="12"/>
  <c r="V141" i="12"/>
  <c r="V74" i="12"/>
  <c r="V29" i="12"/>
  <c r="V20" i="12"/>
  <c r="V15" i="12"/>
  <c r="V101" i="12"/>
  <c r="C60" i="3"/>
  <c r="O82" i="3"/>
  <c r="O100" i="3"/>
  <c r="O107" i="3"/>
  <c r="O141" i="3"/>
  <c r="O153" i="3"/>
  <c r="O149" i="3"/>
  <c r="V149" i="3"/>
  <c r="O105" i="3"/>
  <c r="O137" i="3"/>
  <c r="O34" i="3"/>
  <c r="O125" i="3"/>
  <c r="O90" i="3"/>
  <c r="O87" i="3"/>
  <c r="O35" i="3"/>
  <c r="O39" i="3"/>
  <c r="O47" i="3"/>
  <c r="O45" i="3"/>
  <c r="O65" i="3"/>
  <c r="O71" i="3"/>
  <c r="O76" i="3"/>
  <c r="O119" i="3"/>
  <c r="O130" i="3"/>
  <c r="O57" i="3"/>
  <c r="O114" i="3"/>
  <c r="O17" i="3"/>
  <c r="O16" i="3"/>
  <c r="O42" i="3"/>
  <c r="V42" i="3"/>
  <c r="O58" i="3"/>
  <c r="O88" i="3"/>
  <c r="O106" i="3"/>
  <c r="O118" i="3"/>
  <c r="O142" i="3"/>
  <c r="O148" i="3"/>
  <c r="O154" i="3"/>
  <c r="O160" i="3"/>
  <c r="O81" i="3"/>
  <c r="O108" i="3"/>
  <c r="V108" i="3"/>
  <c r="O113" i="3"/>
  <c r="O33" i="3"/>
  <c r="O10" i="3"/>
  <c r="O30" i="3"/>
  <c r="O94" i="3"/>
  <c r="O147" i="3"/>
  <c r="O52" i="3"/>
  <c r="O77" i="3"/>
  <c r="O9" i="3"/>
  <c r="O22" i="3"/>
  <c r="O70" i="3"/>
  <c r="O83" i="3"/>
  <c r="O63" i="3"/>
  <c r="O129" i="3"/>
  <c r="O64" i="3"/>
  <c r="O29" i="3"/>
  <c r="O21" i="3"/>
  <c r="O41" i="3"/>
  <c r="O59" i="3"/>
  <c r="O124" i="3"/>
  <c r="O135" i="3"/>
  <c r="O93" i="3"/>
  <c r="O13" i="3"/>
  <c r="V13" i="3"/>
  <c r="O53" i="3"/>
  <c r="O99" i="3"/>
  <c r="O131" i="3"/>
  <c r="O136" i="3"/>
  <c r="O78" i="3"/>
  <c r="V78" i="3"/>
  <c r="O138" i="3"/>
  <c r="V138" i="3"/>
  <c r="O69" i="3"/>
  <c r="O23" i="3"/>
  <c r="O159" i="3"/>
  <c r="O101" i="3"/>
  <c r="O15" i="3"/>
  <c r="O28" i="3"/>
  <c r="O120" i="3"/>
  <c r="O51" i="3"/>
  <c r="O46" i="3"/>
  <c r="O12" i="3"/>
  <c r="V12" i="3"/>
  <c r="O40" i="3"/>
  <c r="O89" i="3"/>
  <c r="O95" i="3"/>
  <c r="O112" i="3"/>
  <c r="O117" i="3"/>
  <c r="O75" i="3"/>
  <c r="O36" i="3"/>
  <c r="V36" i="3"/>
  <c r="C30" i="3"/>
  <c r="C66" i="3"/>
  <c r="C132" i="3"/>
  <c r="C114" i="3"/>
  <c r="C90" i="3"/>
  <c r="C149" i="3"/>
  <c r="C96" i="3"/>
  <c r="C144" i="3"/>
  <c r="C126" i="3"/>
  <c r="C72" i="3"/>
  <c r="C138" i="3"/>
  <c r="C54" i="3"/>
  <c r="C13" i="3"/>
  <c r="C87" i="3"/>
  <c r="C12" i="3"/>
  <c r="C113" i="3"/>
  <c r="C11" i="3"/>
  <c r="C160" i="3"/>
  <c r="O11" i="3"/>
  <c r="C159" i="3"/>
  <c r="C147" i="3"/>
  <c r="C154" i="3"/>
  <c r="C153" i="3"/>
  <c r="C148" i="3"/>
  <c r="C10" i="3"/>
  <c r="C101" i="3"/>
  <c r="C77" i="3"/>
  <c r="C83" i="3"/>
  <c r="C75" i="3"/>
  <c r="C82" i="3"/>
  <c r="C29" i="3"/>
  <c r="C46" i="3"/>
  <c r="C71" i="3"/>
  <c r="C76" i="3"/>
  <c r="C88" i="3"/>
  <c r="C100" i="3"/>
  <c r="C130" i="3"/>
  <c r="C106" i="3"/>
  <c r="C69" i="3"/>
  <c r="C65" i="3"/>
  <c r="C89" i="3"/>
  <c r="C94" i="3"/>
  <c r="C107" i="3"/>
  <c r="C119" i="3"/>
  <c r="C99" i="3"/>
  <c r="C63" i="3"/>
  <c r="C70" i="3"/>
  <c r="C118" i="3"/>
  <c r="C112" i="3"/>
  <c r="C95" i="3"/>
  <c r="C136" i="3"/>
  <c r="C93" i="3"/>
  <c r="C64" i="3"/>
  <c r="C137" i="3"/>
  <c r="C111" i="3"/>
  <c r="C105" i="3"/>
  <c r="C81" i="3"/>
  <c r="C47" i="3"/>
  <c r="C141" i="3"/>
  <c r="C57" i="3"/>
  <c r="C45" i="3"/>
  <c r="C142" i="3"/>
  <c r="C129" i="3"/>
  <c r="C59" i="3"/>
  <c r="C120" i="3"/>
  <c r="C143" i="3"/>
  <c r="C131" i="3"/>
  <c r="C58" i="3"/>
  <c r="C117" i="3"/>
  <c r="C135" i="3"/>
  <c r="C51" i="3"/>
  <c r="C125" i="3"/>
  <c r="C34" i="3"/>
  <c r="C52" i="3"/>
  <c r="C53" i="3"/>
  <c r="C123" i="3"/>
  <c r="C124" i="3"/>
  <c r="C22" i="3"/>
  <c r="C15" i="3"/>
  <c r="C28" i="3"/>
  <c r="C17" i="3"/>
  <c r="C16" i="3"/>
  <c r="C23" i="3"/>
  <c r="C35" i="3"/>
  <c r="C21" i="3"/>
  <c r="C40" i="3"/>
  <c r="C27" i="3"/>
  <c r="C33" i="3"/>
  <c r="C41" i="3"/>
  <c r="C42" i="3"/>
  <c r="C39" i="3"/>
  <c r="C9" i="3"/>
  <c r="E18" i="10"/>
  <c r="J11" i="10"/>
  <c r="E11" i="10"/>
  <c r="P26" i="9" l="1"/>
  <c r="P34" i="9"/>
  <c r="P50" i="9"/>
  <c r="P58" i="9"/>
  <c r="P66" i="9"/>
  <c r="P74" i="9"/>
  <c r="P90" i="9"/>
  <c r="P98" i="9"/>
  <c r="P106" i="9"/>
  <c r="P122" i="9"/>
  <c r="P12" i="9"/>
  <c r="P19" i="9"/>
  <c r="P27" i="9"/>
  <c r="P35" i="9"/>
  <c r="P43" i="9"/>
  <c r="P51" i="9"/>
  <c r="P59" i="9"/>
  <c r="P67" i="9"/>
  <c r="P83" i="9"/>
  <c r="P91" i="9"/>
  <c r="P99" i="9"/>
  <c r="P107" i="9"/>
  <c r="P115" i="9"/>
  <c r="P123" i="9"/>
  <c r="P20" i="9"/>
  <c r="P28" i="9"/>
  <c r="P44" i="9"/>
  <c r="P52" i="9"/>
  <c r="P68" i="9"/>
  <c r="P76" i="9"/>
  <c r="P84" i="9"/>
  <c r="P92" i="9"/>
  <c r="P100" i="9"/>
  <c r="P116" i="9"/>
  <c r="P14" i="9"/>
  <c r="P31" i="9"/>
  <c r="P41" i="9"/>
  <c r="P77" i="9"/>
  <c r="P87" i="9"/>
  <c r="P101" i="9"/>
  <c r="P111" i="9"/>
  <c r="P121" i="9"/>
  <c r="P15" i="9"/>
  <c r="P21" i="9"/>
  <c r="P32" i="9"/>
  <c r="P55" i="9"/>
  <c r="P65" i="9"/>
  <c r="P78" i="9"/>
  <c r="P112" i="9"/>
  <c r="P16" i="9"/>
  <c r="P25" i="9"/>
  <c r="P61" i="9"/>
  <c r="P10" i="9"/>
  <c r="P22" i="9"/>
  <c r="P33" i="9"/>
  <c r="P45" i="9"/>
  <c r="P56" i="9"/>
  <c r="P79" i="9"/>
  <c r="P89" i="9"/>
  <c r="P103" i="9"/>
  <c r="P113" i="9"/>
  <c r="P17" i="9"/>
  <c r="P46" i="9"/>
  <c r="P57" i="9"/>
  <c r="P70" i="9"/>
  <c r="P80" i="9"/>
  <c r="P93" i="9"/>
  <c r="P104" i="9"/>
  <c r="P8" i="9"/>
  <c r="P7" i="9"/>
  <c r="P24" i="9"/>
  <c r="P37" i="9"/>
  <c r="P47" i="9"/>
  <c r="P71" i="9"/>
  <c r="P81" i="9"/>
  <c r="P105" i="9"/>
  <c r="P117" i="9"/>
  <c r="P9" i="9"/>
  <c r="P38" i="9"/>
  <c r="P72" i="9"/>
  <c r="P118" i="9"/>
  <c r="P11" i="9"/>
  <c r="P62" i="9"/>
  <c r="P63" i="9"/>
  <c r="P39" i="9"/>
  <c r="P109" i="9"/>
  <c r="P110" i="9"/>
  <c r="P49" i="9"/>
  <c r="P73" i="9"/>
  <c r="P96" i="9"/>
  <c r="P120" i="9"/>
  <c r="P53" i="9"/>
  <c r="P97" i="9"/>
  <c r="P30" i="9"/>
  <c r="P85" i="9"/>
  <c r="P86" i="9"/>
  <c r="P40" i="9"/>
  <c r="E126" i="16"/>
  <c r="E124" i="16"/>
  <c r="E117" i="16"/>
  <c r="E104" i="16"/>
  <c r="E106" i="16"/>
  <c r="E87" i="16"/>
  <c r="E71" i="16"/>
  <c r="E111" i="16"/>
  <c r="E98" i="16"/>
  <c r="E100" i="16"/>
  <c r="E92" i="16"/>
  <c r="E84" i="16"/>
  <c r="E73" i="16"/>
  <c r="E55" i="16"/>
  <c r="E103" i="16"/>
  <c r="E97" i="16"/>
  <c r="E86" i="16"/>
  <c r="E58" i="16"/>
  <c r="E49" i="16"/>
  <c r="E35" i="16"/>
  <c r="E29" i="16"/>
  <c r="E116" i="16"/>
  <c r="E112" i="16"/>
  <c r="E85" i="16"/>
  <c r="E54" i="16"/>
  <c r="E123" i="16"/>
  <c r="E88" i="16"/>
  <c r="E66" i="16"/>
  <c r="E65" i="16"/>
  <c r="E53" i="16"/>
  <c r="E42" i="16"/>
  <c r="E21" i="16"/>
  <c r="E43" i="16"/>
  <c r="E38" i="16"/>
  <c r="E59" i="16"/>
  <c r="E34" i="16"/>
  <c r="E99" i="16"/>
  <c r="E94" i="16"/>
  <c r="E79" i="16"/>
  <c r="E37" i="16"/>
  <c r="E16" i="16"/>
  <c r="E7" i="16"/>
  <c r="E125" i="16"/>
  <c r="E105" i="16"/>
  <c r="E41" i="16"/>
  <c r="E25" i="16"/>
  <c r="E15" i="16"/>
  <c r="E9" i="16"/>
  <c r="E107" i="16"/>
  <c r="E72" i="16"/>
  <c r="E77" i="16"/>
  <c r="E64" i="16"/>
  <c r="E60" i="16"/>
  <c r="E30" i="16"/>
  <c r="E20" i="16"/>
  <c r="E81" i="16"/>
  <c r="E22" i="16"/>
  <c r="E8" i="16"/>
  <c r="E78" i="16"/>
  <c r="E45" i="16"/>
  <c r="E80" i="16"/>
  <c r="E28" i="16"/>
  <c r="E93" i="16"/>
  <c r="E74" i="16"/>
  <c r="E50" i="16"/>
  <c r="E61" i="16"/>
  <c r="E51" i="16"/>
  <c r="L101" i="9"/>
  <c r="H101" i="9"/>
  <c r="E99" i="13" s="1"/>
  <c r="M101" i="9"/>
  <c r="G99" i="13" s="1"/>
  <c r="N101" i="9"/>
  <c r="H99" i="13" s="1"/>
  <c r="I101" i="9"/>
  <c r="F99" i="13" s="1"/>
  <c r="K101" i="9"/>
  <c r="O101" i="9"/>
  <c r="Q101" i="9"/>
  <c r="K99" i="13" s="1"/>
  <c r="J101" i="9"/>
  <c r="U9" i="3" a="1"/>
  <c r="V60" i="3" s="1"/>
  <c r="I8" i="9"/>
  <c r="F7" i="13" s="1"/>
  <c r="Q123" i="9"/>
  <c r="K121" i="13" s="1"/>
  <c r="Q14" i="9"/>
  <c r="K13" i="13" s="1"/>
  <c r="Q22" i="9"/>
  <c r="K21" i="13" s="1"/>
  <c r="Q30" i="9"/>
  <c r="K29" i="13" s="1"/>
  <c r="Q38" i="9"/>
  <c r="K37" i="13" s="1"/>
  <c r="Q46" i="9"/>
  <c r="K45" i="13" s="1"/>
  <c r="Q62" i="9"/>
  <c r="K61" i="13" s="1"/>
  <c r="Q70" i="9"/>
  <c r="K69" i="13" s="1"/>
  <c r="Q78" i="9"/>
  <c r="K77" i="13" s="1"/>
  <c r="Q86" i="9"/>
  <c r="K85" i="13" s="1"/>
  <c r="Q104" i="9"/>
  <c r="K102" i="13" s="1"/>
  <c r="Q112" i="9"/>
  <c r="K110" i="13" s="1"/>
  <c r="Q120" i="9"/>
  <c r="K118" i="13" s="1"/>
  <c r="O35" i="9"/>
  <c r="N47" i="9"/>
  <c r="H46" i="13" s="1"/>
  <c r="L31" i="9"/>
  <c r="L40" i="9"/>
  <c r="L44" i="9"/>
  <c r="L49" i="9"/>
  <c r="L53" i="9"/>
  <c r="L57" i="9"/>
  <c r="L61" i="9"/>
  <c r="L65" i="9"/>
  <c r="L73" i="9"/>
  <c r="L77" i="9"/>
  <c r="L81" i="9"/>
  <c r="L85" i="9"/>
  <c r="L89" i="9"/>
  <c r="L93" i="9"/>
  <c r="L98" i="9"/>
  <c r="L103" i="9"/>
  <c r="L107" i="9"/>
  <c r="L111" i="9"/>
  <c r="L115" i="9"/>
  <c r="L123" i="9"/>
  <c r="L25" i="9"/>
  <c r="L17" i="9"/>
  <c r="L21" i="9"/>
  <c r="L10" i="9"/>
  <c r="Q15" i="9"/>
  <c r="K14" i="13" s="1"/>
  <c r="Q31" i="9"/>
  <c r="K30" i="13" s="1"/>
  <c r="Q39" i="9"/>
  <c r="K38" i="13" s="1"/>
  <c r="Q47" i="9"/>
  <c r="K46" i="13" s="1"/>
  <c r="Q55" i="9"/>
  <c r="K54" i="13" s="1"/>
  <c r="Q63" i="9"/>
  <c r="K62" i="13" s="1"/>
  <c r="Q71" i="9"/>
  <c r="K70" i="13" s="1"/>
  <c r="Q79" i="9"/>
  <c r="K78" i="13" s="1"/>
  <c r="Q87" i="9"/>
  <c r="K86" i="13" s="1"/>
  <c r="Q96" i="9"/>
  <c r="K94" i="13" s="1"/>
  <c r="Q105" i="9"/>
  <c r="K103" i="13" s="1"/>
  <c r="Q113" i="9"/>
  <c r="K111" i="13" s="1"/>
  <c r="Q121" i="9"/>
  <c r="K119" i="13" s="1"/>
  <c r="H35" i="9"/>
  <c r="E34" i="13" s="1"/>
  <c r="O47" i="9"/>
  <c r="K32" i="9"/>
  <c r="K37" i="9"/>
  <c r="K41" i="9"/>
  <c r="K45" i="9"/>
  <c r="K50" i="9"/>
  <c r="K58" i="9"/>
  <c r="K62" i="9"/>
  <c r="K66" i="9"/>
  <c r="K70" i="9"/>
  <c r="K74" i="9"/>
  <c r="K78" i="9"/>
  <c r="K86" i="9"/>
  <c r="K90" i="9"/>
  <c r="K99" i="9"/>
  <c r="K104" i="9"/>
  <c r="K112" i="9"/>
  <c r="K116" i="9"/>
  <c r="K120" i="9"/>
  <c r="K26" i="9"/>
  <c r="K14" i="9"/>
  <c r="K22" i="9"/>
  <c r="K11" i="9"/>
  <c r="H113" i="9"/>
  <c r="E111" i="13" s="1"/>
  <c r="Q26" i="9"/>
  <c r="K25" i="13" s="1"/>
  <c r="Q66" i="9"/>
  <c r="K65" i="13" s="1"/>
  <c r="Q90" i="9"/>
  <c r="K89" i="13" s="1"/>
  <c r="Q116" i="9"/>
  <c r="K114" i="13" s="1"/>
  <c r="K35" i="9"/>
  <c r="L38" i="9"/>
  <c r="L55" i="9"/>
  <c r="L67" i="9"/>
  <c r="L79" i="9"/>
  <c r="L96" i="9"/>
  <c r="L109" i="9"/>
  <c r="L121" i="9"/>
  <c r="L19" i="9"/>
  <c r="M113" i="9"/>
  <c r="G111" i="13" s="1"/>
  <c r="Q8" i="9"/>
  <c r="K7" i="13" s="1"/>
  <c r="Q16" i="9"/>
  <c r="K15" i="13" s="1"/>
  <c r="Q24" i="9"/>
  <c r="K23" i="13" s="1"/>
  <c r="Q32" i="9"/>
  <c r="K31" i="13" s="1"/>
  <c r="Q40" i="9"/>
  <c r="K39" i="13" s="1"/>
  <c r="Q56" i="9"/>
  <c r="K55" i="13" s="1"/>
  <c r="Q72" i="9"/>
  <c r="K71" i="13" s="1"/>
  <c r="Q80" i="9"/>
  <c r="K79" i="13" s="1"/>
  <c r="Q97" i="9"/>
  <c r="K95" i="13" s="1"/>
  <c r="Q106" i="9"/>
  <c r="K104" i="13" s="1"/>
  <c r="Q122" i="9"/>
  <c r="K120" i="13" s="1"/>
  <c r="I35" i="9"/>
  <c r="F34" i="13" s="1"/>
  <c r="H47" i="9"/>
  <c r="E46" i="13" s="1"/>
  <c r="L32" i="9"/>
  <c r="L37" i="9"/>
  <c r="L41" i="9"/>
  <c r="L45" i="9"/>
  <c r="L50" i="9"/>
  <c r="L58" i="9"/>
  <c r="L62" i="9"/>
  <c r="L66" i="9"/>
  <c r="L70" i="9"/>
  <c r="L74" i="9"/>
  <c r="L78" i="9"/>
  <c r="L86" i="9"/>
  <c r="L90" i="9"/>
  <c r="L99" i="9"/>
  <c r="L104" i="9"/>
  <c r="L112" i="9"/>
  <c r="L116" i="9"/>
  <c r="L120" i="9"/>
  <c r="L26" i="9"/>
  <c r="L14" i="9"/>
  <c r="L22" i="9"/>
  <c r="L11" i="9"/>
  <c r="I113" i="9"/>
  <c r="F111" i="13" s="1"/>
  <c r="Q34" i="9"/>
  <c r="K33" i="13" s="1"/>
  <c r="Q7" i="9"/>
  <c r="K6" i="13" s="1"/>
  <c r="J47" i="9"/>
  <c r="L33" i="9"/>
  <c r="L51" i="9"/>
  <c r="L63" i="9"/>
  <c r="L87" i="9"/>
  <c r="L100" i="9"/>
  <c r="L113" i="9"/>
  <c r="L15" i="9"/>
  <c r="L8" i="9"/>
  <c r="Q9" i="9"/>
  <c r="K8" i="13" s="1"/>
  <c r="Q17" i="9"/>
  <c r="K16" i="13" s="1"/>
  <c r="Q25" i="9"/>
  <c r="K24" i="13" s="1"/>
  <c r="Q33" i="9"/>
  <c r="K32" i="13" s="1"/>
  <c r="Q41" i="9"/>
  <c r="K40" i="13" s="1"/>
  <c r="Q49" i="9"/>
  <c r="K48" i="13" s="1"/>
  <c r="Q57" i="9"/>
  <c r="K56" i="13" s="1"/>
  <c r="Q65" i="9"/>
  <c r="K64" i="13" s="1"/>
  <c r="Q73" i="9"/>
  <c r="K72" i="13" s="1"/>
  <c r="Q81" i="9"/>
  <c r="K80" i="13" s="1"/>
  <c r="Q89" i="9"/>
  <c r="K88" i="13" s="1"/>
  <c r="Q98" i="9"/>
  <c r="K96" i="13" s="1"/>
  <c r="Q107" i="9"/>
  <c r="K105" i="13" s="1"/>
  <c r="Q115" i="9"/>
  <c r="K113" i="13" s="1"/>
  <c r="J35" i="9"/>
  <c r="I47" i="9"/>
  <c r="F46" i="13" s="1"/>
  <c r="K33" i="9"/>
  <c r="K38" i="9"/>
  <c r="K46" i="9"/>
  <c r="K51" i="9"/>
  <c r="K55" i="9"/>
  <c r="K59" i="9"/>
  <c r="K63" i="9"/>
  <c r="K67" i="9"/>
  <c r="K71" i="9"/>
  <c r="K79" i="9"/>
  <c r="K83" i="9"/>
  <c r="K87" i="9"/>
  <c r="K91" i="9"/>
  <c r="K96" i="9"/>
  <c r="K100" i="9"/>
  <c r="K105" i="9"/>
  <c r="K109" i="9"/>
  <c r="K113" i="9"/>
  <c r="K117" i="9"/>
  <c r="K121" i="9"/>
  <c r="K27" i="9"/>
  <c r="K15" i="9"/>
  <c r="K19" i="9"/>
  <c r="K8" i="9"/>
  <c r="K12" i="9"/>
  <c r="J113" i="9"/>
  <c r="Q50" i="9"/>
  <c r="K49" i="13" s="1"/>
  <c r="Q58" i="9"/>
  <c r="K57" i="13" s="1"/>
  <c r="Q74" i="9"/>
  <c r="K73" i="13" s="1"/>
  <c r="Q99" i="9"/>
  <c r="K97" i="13" s="1"/>
  <c r="L46" i="9"/>
  <c r="L59" i="9"/>
  <c r="L71" i="9"/>
  <c r="L83" i="9"/>
  <c r="L91" i="9"/>
  <c r="L105" i="9"/>
  <c r="L117" i="9"/>
  <c r="L27" i="9"/>
  <c r="L12" i="9"/>
  <c r="Q10" i="9"/>
  <c r="K9" i="13" s="1"/>
  <c r="Q11" i="9"/>
  <c r="K10" i="13" s="1"/>
  <c r="Q19" i="9"/>
  <c r="K18" i="13" s="1"/>
  <c r="Q27" i="9"/>
  <c r="K26" i="13" s="1"/>
  <c r="Q35" i="9"/>
  <c r="K34" i="13" s="1"/>
  <c r="Q43" i="9"/>
  <c r="K42" i="13" s="1"/>
  <c r="Q51" i="9"/>
  <c r="K50" i="13" s="1"/>
  <c r="Q59" i="9"/>
  <c r="K58" i="13" s="1"/>
  <c r="Q67" i="9"/>
  <c r="K66" i="13" s="1"/>
  <c r="Q83" i="9"/>
  <c r="K82" i="13" s="1"/>
  <c r="Q91" i="9"/>
  <c r="K90" i="13" s="1"/>
  <c r="Q100" i="9"/>
  <c r="K98" i="13" s="1"/>
  <c r="Q109" i="9"/>
  <c r="K107" i="13" s="1"/>
  <c r="Q117" i="9"/>
  <c r="K115" i="13" s="1"/>
  <c r="L35" i="9"/>
  <c r="K47" i="9"/>
  <c r="K30" i="9"/>
  <c r="K34" i="9"/>
  <c r="K39" i="9"/>
  <c r="K43" i="9"/>
  <c r="K52" i="9"/>
  <c r="K56" i="9"/>
  <c r="K68" i="9"/>
  <c r="K72" i="9"/>
  <c r="K76" i="9"/>
  <c r="K80" i="9"/>
  <c r="K84" i="9"/>
  <c r="K92" i="9"/>
  <c r="K97" i="9"/>
  <c r="K106" i="9"/>
  <c r="K110" i="9"/>
  <c r="K118" i="9"/>
  <c r="K122" i="9"/>
  <c r="K24" i="9"/>
  <c r="K28" i="9"/>
  <c r="K16" i="9"/>
  <c r="K20" i="9"/>
  <c r="K9" i="9"/>
  <c r="L7" i="9"/>
  <c r="N113" i="9"/>
  <c r="H111" i="13" s="1"/>
  <c r="Q12" i="9"/>
  <c r="K11" i="13" s="1"/>
  <c r="Q20" i="9"/>
  <c r="K19" i="13" s="1"/>
  <c r="Q28" i="9"/>
  <c r="K27" i="13" s="1"/>
  <c r="Q44" i="9"/>
  <c r="K43" i="13" s="1"/>
  <c r="Q52" i="9"/>
  <c r="K51" i="13" s="1"/>
  <c r="Q68" i="9"/>
  <c r="K67" i="13" s="1"/>
  <c r="Q84" i="9"/>
  <c r="K83" i="13" s="1"/>
  <c r="Q92" i="9"/>
  <c r="K91" i="13" s="1"/>
  <c r="Q110" i="9"/>
  <c r="K108" i="13" s="1"/>
  <c r="Q118" i="9"/>
  <c r="K116" i="13" s="1"/>
  <c r="L47" i="9"/>
  <c r="L34" i="9"/>
  <c r="L43" i="9"/>
  <c r="L52" i="9"/>
  <c r="L72" i="9"/>
  <c r="L80" i="9"/>
  <c r="L92" i="9"/>
  <c r="L16" i="9"/>
  <c r="K7" i="9"/>
  <c r="Q76" i="9"/>
  <c r="K75" i="13" s="1"/>
  <c r="M35" i="9"/>
  <c r="G34" i="13" s="1"/>
  <c r="L30" i="9"/>
  <c r="L39" i="9"/>
  <c r="L56" i="9"/>
  <c r="L68" i="9"/>
  <c r="L76" i="9"/>
  <c r="L84" i="9"/>
  <c r="L97" i="9"/>
  <c r="L106" i="9"/>
  <c r="L110" i="9"/>
  <c r="L118" i="9"/>
  <c r="L122" i="9"/>
  <c r="L24" i="9"/>
  <c r="L28" i="9"/>
  <c r="L20" i="9"/>
  <c r="L9" i="9"/>
  <c r="O113" i="9"/>
  <c r="Q21" i="9"/>
  <c r="K20" i="13" s="1"/>
  <c r="Q37" i="9"/>
  <c r="K36" i="13" s="1"/>
  <c r="Q45" i="9"/>
  <c r="K44" i="13" s="1"/>
  <c r="Q53" i="9"/>
  <c r="K52" i="13" s="1"/>
  <c r="Q61" i="9"/>
  <c r="K60" i="13" s="1"/>
  <c r="Q77" i="9"/>
  <c r="K76" i="13" s="1"/>
  <c r="Q85" i="9"/>
  <c r="K84" i="13" s="1"/>
  <c r="Q93" i="9"/>
  <c r="K92" i="13" s="1"/>
  <c r="Q103" i="9"/>
  <c r="K101" i="13" s="1"/>
  <c r="Q111" i="9"/>
  <c r="K109" i="13" s="1"/>
  <c r="N35" i="9"/>
  <c r="H34" i="13" s="1"/>
  <c r="M47" i="9"/>
  <c r="G46" i="13" s="1"/>
  <c r="K31" i="9"/>
  <c r="K40" i="9"/>
  <c r="K44" i="9"/>
  <c r="K49" i="9"/>
  <c r="K53" i="9"/>
  <c r="K57" i="9"/>
  <c r="K61" i="9"/>
  <c r="K65" i="9"/>
  <c r="K73" i="9"/>
  <c r="K77" i="9"/>
  <c r="K81" i="9"/>
  <c r="K85" i="9"/>
  <c r="K89" i="9"/>
  <c r="K93" i="9"/>
  <c r="K98" i="9"/>
  <c r="K103" i="9"/>
  <c r="K107" i="9"/>
  <c r="K111" i="9"/>
  <c r="K115" i="9"/>
  <c r="K123" i="9"/>
  <c r="K25" i="9"/>
  <c r="K17" i="9"/>
  <c r="K21" i="9"/>
  <c r="K10" i="9"/>
  <c r="H81" i="9"/>
  <c r="E80" i="13" s="1"/>
  <c r="I81" i="9"/>
  <c r="F80" i="13" s="1"/>
  <c r="J81" i="9"/>
  <c r="M81" i="9"/>
  <c r="G80" i="13" s="1"/>
  <c r="N81" i="9"/>
  <c r="H80" i="13" s="1"/>
  <c r="O81" i="9"/>
  <c r="H98" i="9"/>
  <c r="E96" i="13" s="1"/>
  <c r="H77" i="9"/>
  <c r="E76" i="13" s="1"/>
  <c r="J26" i="9"/>
  <c r="H112" i="9"/>
  <c r="E110" i="13" s="1"/>
  <c r="O25" i="9"/>
  <c r="O40" i="9"/>
  <c r="O100" i="9"/>
  <c r="O123" i="9"/>
  <c r="H93" i="9"/>
  <c r="E92" i="13" s="1"/>
  <c r="I98" i="9"/>
  <c r="F96" i="13" s="1"/>
  <c r="I77" i="9"/>
  <c r="F76" i="13" s="1"/>
  <c r="M26" i="9"/>
  <c r="G25" i="13" s="1"/>
  <c r="I112" i="9"/>
  <c r="F110" i="13" s="1"/>
  <c r="J107" i="9"/>
  <c r="J34" i="9"/>
  <c r="J12" i="9"/>
  <c r="J41" i="9"/>
  <c r="J49" i="9"/>
  <c r="J117" i="9"/>
  <c r="H40" i="9"/>
  <c r="E39" i="13" s="1"/>
  <c r="I93" i="9"/>
  <c r="F92" i="13" s="1"/>
  <c r="N26" i="9"/>
  <c r="H25" i="13" s="1"/>
  <c r="M107" i="9"/>
  <c r="G105" i="13" s="1"/>
  <c r="M34" i="9"/>
  <c r="G33" i="13" s="1"/>
  <c r="M12" i="9"/>
  <c r="G11" i="13" s="1"/>
  <c r="M41" i="9"/>
  <c r="G40" i="13" s="1"/>
  <c r="M49" i="9"/>
  <c r="G48" i="13" s="1"/>
  <c r="M117" i="9"/>
  <c r="G115" i="13" s="1"/>
  <c r="I40" i="9"/>
  <c r="F39" i="13" s="1"/>
  <c r="H49" i="9"/>
  <c r="E48" i="13" s="1"/>
  <c r="J98" i="9"/>
  <c r="J77" i="9"/>
  <c r="O26" i="9"/>
  <c r="J112" i="9"/>
  <c r="N107" i="9"/>
  <c r="H105" i="13" s="1"/>
  <c r="N34" i="9"/>
  <c r="H33" i="13" s="1"/>
  <c r="N12" i="9"/>
  <c r="H11" i="13" s="1"/>
  <c r="N41" i="9"/>
  <c r="H40" i="13" s="1"/>
  <c r="N49" i="9"/>
  <c r="H48" i="13" s="1"/>
  <c r="N117" i="9"/>
  <c r="H115" i="13" s="1"/>
  <c r="H117" i="9"/>
  <c r="E115" i="13" s="1"/>
  <c r="I49" i="9"/>
  <c r="F48" i="13" s="1"/>
  <c r="J93" i="9"/>
  <c r="M98" i="9"/>
  <c r="G96" i="13" s="1"/>
  <c r="M77" i="9"/>
  <c r="G76" i="13" s="1"/>
  <c r="M112" i="9"/>
  <c r="G110" i="13" s="1"/>
  <c r="O107" i="9"/>
  <c r="O34" i="9"/>
  <c r="O12" i="9"/>
  <c r="O41" i="9"/>
  <c r="O49" i="9"/>
  <c r="O117" i="9"/>
  <c r="I117" i="9"/>
  <c r="F115" i="13" s="1"/>
  <c r="H41" i="9"/>
  <c r="E40" i="13" s="1"/>
  <c r="M93" i="9"/>
  <c r="G92" i="13" s="1"/>
  <c r="N98" i="9"/>
  <c r="H96" i="13" s="1"/>
  <c r="N77" i="9"/>
  <c r="H76" i="13" s="1"/>
  <c r="H26" i="9"/>
  <c r="E25" i="13" s="1"/>
  <c r="N112" i="9"/>
  <c r="H110" i="13" s="1"/>
  <c r="J25" i="9"/>
  <c r="J40" i="9"/>
  <c r="J100" i="9"/>
  <c r="J123" i="9"/>
  <c r="I41" i="9"/>
  <c r="F40" i="13" s="1"/>
  <c r="I12" i="9"/>
  <c r="F11" i="13" s="1"/>
  <c r="N93" i="9"/>
  <c r="H92" i="13" s="1"/>
  <c r="O98" i="9"/>
  <c r="O77" i="9"/>
  <c r="I26" i="9"/>
  <c r="F25" i="13" s="1"/>
  <c r="O112" i="9"/>
  <c r="H107" i="9"/>
  <c r="E105" i="13" s="1"/>
  <c r="H34" i="9"/>
  <c r="E33" i="13" s="1"/>
  <c r="M25" i="9"/>
  <c r="G24" i="13" s="1"/>
  <c r="M40" i="9"/>
  <c r="G39" i="13" s="1"/>
  <c r="M100" i="9"/>
  <c r="G98" i="13" s="1"/>
  <c r="M123" i="9"/>
  <c r="G121" i="13" s="1"/>
  <c r="H123" i="9"/>
  <c r="E121" i="13" s="1"/>
  <c r="H100" i="9"/>
  <c r="E98" i="13" s="1"/>
  <c r="H12" i="9"/>
  <c r="E11" i="13" s="1"/>
  <c r="O93" i="9"/>
  <c r="I107" i="9"/>
  <c r="F105" i="13" s="1"/>
  <c r="I34" i="9"/>
  <c r="F33" i="13" s="1"/>
  <c r="N25" i="9"/>
  <c r="H24" i="13" s="1"/>
  <c r="N40" i="9"/>
  <c r="H39" i="13" s="1"/>
  <c r="N100" i="9"/>
  <c r="H98" i="13" s="1"/>
  <c r="N123" i="9"/>
  <c r="H121" i="13" s="1"/>
  <c r="I123" i="9"/>
  <c r="F121" i="13" s="1"/>
  <c r="I100" i="9"/>
  <c r="F98" i="13" s="1"/>
  <c r="J100" i="13"/>
  <c r="J117" i="13"/>
  <c r="N46" i="9"/>
  <c r="H45" i="13" s="1"/>
  <c r="N59" i="9"/>
  <c r="H58" i="13" s="1"/>
  <c r="N61" i="9"/>
  <c r="H60" i="13" s="1"/>
  <c r="N63" i="9"/>
  <c r="H62" i="13" s="1"/>
  <c r="N73" i="9"/>
  <c r="H72" i="13" s="1"/>
  <c r="O46" i="9"/>
  <c r="O59" i="9"/>
  <c r="O61" i="9"/>
  <c r="O63" i="9"/>
  <c r="O73" i="9"/>
  <c r="H63" i="9"/>
  <c r="E62" i="13" s="1"/>
  <c r="J58" i="9"/>
  <c r="J62" i="9"/>
  <c r="H58" i="9"/>
  <c r="E57" i="13" s="1"/>
  <c r="I63" i="9"/>
  <c r="F62" i="13" s="1"/>
  <c r="M58" i="9"/>
  <c r="G57" i="13" s="1"/>
  <c r="M62" i="9"/>
  <c r="G61" i="13" s="1"/>
  <c r="I58" i="9"/>
  <c r="F57" i="13" s="1"/>
  <c r="H61" i="9"/>
  <c r="E60" i="13" s="1"/>
  <c r="I62" i="9"/>
  <c r="F61" i="13" s="1"/>
  <c r="N58" i="9"/>
  <c r="H57" i="13" s="1"/>
  <c r="N62" i="9"/>
  <c r="H61" i="13" s="1"/>
  <c r="I61" i="9"/>
  <c r="F60" i="13" s="1"/>
  <c r="O58" i="9"/>
  <c r="O62" i="9"/>
  <c r="H59" i="9"/>
  <c r="E58" i="13" s="1"/>
  <c r="H73" i="9"/>
  <c r="E72" i="13" s="1"/>
  <c r="H46" i="9"/>
  <c r="E45" i="13" s="1"/>
  <c r="J46" i="9"/>
  <c r="J59" i="9"/>
  <c r="J61" i="9"/>
  <c r="J63" i="9"/>
  <c r="J73" i="9"/>
  <c r="I59" i="9"/>
  <c r="F58" i="13" s="1"/>
  <c r="H62" i="9"/>
  <c r="E61" i="13" s="1"/>
  <c r="I73" i="9"/>
  <c r="F72" i="13" s="1"/>
  <c r="I46" i="9"/>
  <c r="F45" i="13" s="1"/>
  <c r="M46" i="9"/>
  <c r="G45" i="13" s="1"/>
  <c r="M59" i="9"/>
  <c r="G58" i="13" s="1"/>
  <c r="M61" i="9"/>
  <c r="G60" i="13" s="1"/>
  <c r="M63" i="9"/>
  <c r="G62" i="13" s="1"/>
  <c r="M73" i="9"/>
  <c r="G72" i="13" s="1"/>
  <c r="H87" i="9"/>
  <c r="E86" i="13" s="1"/>
  <c r="I68" i="9"/>
  <c r="F67" i="13" s="1"/>
  <c r="J9" i="9"/>
  <c r="J11" i="9"/>
  <c r="J14" i="9"/>
  <c r="J16" i="9"/>
  <c r="J19" i="9"/>
  <c r="J21" i="9"/>
  <c r="J24" i="9"/>
  <c r="J28" i="9"/>
  <c r="J30" i="9"/>
  <c r="J32" i="9"/>
  <c r="J38" i="9"/>
  <c r="J44" i="9"/>
  <c r="J50" i="9"/>
  <c r="J52" i="9"/>
  <c r="J55" i="9"/>
  <c r="J57" i="9"/>
  <c r="J65" i="9"/>
  <c r="J67" i="9"/>
  <c r="J71" i="9"/>
  <c r="J78" i="9"/>
  <c r="J80" i="9"/>
  <c r="J83" i="9"/>
  <c r="J85" i="9"/>
  <c r="J90" i="9"/>
  <c r="J92" i="9"/>
  <c r="J96" i="9"/>
  <c r="J99" i="9"/>
  <c r="J102" i="9"/>
  <c r="J103" i="9"/>
  <c r="J105" i="9"/>
  <c r="J110" i="9"/>
  <c r="J116" i="9"/>
  <c r="J120" i="9"/>
  <c r="J122" i="9"/>
  <c r="H111" i="9"/>
  <c r="E109" i="13" s="1"/>
  <c r="H119" i="9"/>
  <c r="E117" i="13" s="1"/>
  <c r="H78" i="9"/>
  <c r="E77" i="13" s="1"/>
  <c r="I57" i="9"/>
  <c r="F56" i="13" s="1"/>
  <c r="I65" i="9"/>
  <c r="F64" i="13" s="1"/>
  <c r="H83" i="9"/>
  <c r="E82" i="13" s="1"/>
  <c r="I89" i="9"/>
  <c r="F88" i="13" s="1"/>
  <c r="H92" i="9"/>
  <c r="E91" i="13" s="1"/>
  <c r="H38" i="9"/>
  <c r="E37" i="13" s="1"/>
  <c r="I43" i="9"/>
  <c r="F42" i="13" s="1"/>
  <c r="I53" i="9"/>
  <c r="F52" i="13" s="1"/>
  <c r="H33" i="9"/>
  <c r="E32" i="13" s="1"/>
  <c r="I51" i="9"/>
  <c r="F50" i="13" s="1"/>
  <c r="O21" i="9"/>
  <c r="O28" i="9"/>
  <c r="O57" i="9"/>
  <c r="O71" i="9"/>
  <c r="O80" i="9"/>
  <c r="O85" i="9"/>
  <c r="O96" i="9"/>
  <c r="O102" i="9"/>
  <c r="O122" i="9"/>
  <c r="H103" i="9"/>
  <c r="E101" i="13" s="1"/>
  <c r="H120" i="9"/>
  <c r="E118" i="13" s="1"/>
  <c r="H79" i="9"/>
  <c r="E78" i="13" s="1"/>
  <c r="I74" i="9"/>
  <c r="F73" i="13" s="1"/>
  <c r="I90" i="9"/>
  <c r="F89" i="13" s="1"/>
  <c r="H39" i="9"/>
  <c r="E38" i="13" s="1"/>
  <c r="H30" i="9"/>
  <c r="E29" i="13" s="1"/>
  <c r="I87" i="9"/>
  <c r="F86" i="13" s="1"/>
  <c r="H9" i="9"/>
  <c r="E8" i="13" s="1"/>
  <c r="M9" i="9"/>
  <c r="G8" i="13" s="1"/>
  <c r="M11" i="9"/>
  <c r="G10" i="13" s="1"/>
  <c r="M14" i="9"/>
  <c r="G13" i="13" s="1"/>
  <c r="M16" i="9"/>
  <c r="G15" i="13" s="1"/>
  <c r="M19" i="9"/>
  <c r="G18" i="13" s="1"/>
  <c r="M21" i="9"/>
  <c r="G20" i="13" s="1"/>
  <c r="M24" i="9"/>
  <c r="G23" i="13" s="1"/>
  <c r="M28" i="9"/>
  <c r="G27" i="13" s="1"/>
  <c r="M30" i="9"/>
  <c r="G29" i="13" s="1"/>
  <c r="M32" i="9"/>
  <c r="G31" i="13" s="1"/>
  <c r="M38" i="9"/>
  <c r="G37" i="13" s="1"/>
  <c r="M44" i="9"/>
  <c r="G43" i="13" s="1"/>
  <c r="M50" i="9"/>
  <c r="G49" i="13" s="1"/>
  <c r="M52" i="9"/>
  <c r="G51" i="13" s="1"/>
  <c r="M55" i="9"/>
  <c r="G54" i="13" s="1"/>
  <c r="M57" i="9"/>
  <c r="G56" i="13" s="1"/>
  <c r="M65" i="9"/>
  <c r="G64" i="13" s="1"/>
  <c r="M67" i="9"/>
  <c r="G66" i="13" s="1"/>
  <c r="M71" i="9"/>
  <c r="G70" i="13" s="1"/>
  <c r="M78" i="9"/>
  <c r="G77" i="13" s="1"/>
  <c r="M80" i="9"/>
  <c r="G79" i="13" s="1"/>
  <c r="M83" i="9"/>
  <c r="G82" i="13" s="1"/>
  <c r="M85" i="9"/>
  <c r="G84" i="13" s="1"/>
  <c r="M90" i="9"/>
  <c r="G89" i="13" s="1"/>
  <c r="M92" i="9"/>
  <c r="G91" i="13" s="1"/>
  <c r="M96" i="9"/>
  <c r="G94" i="13" s="1"/>
  <c r="M99" i="9"/>
  <c r="G97" i="13" s="1"/>
  <c r="M102" i="9"/>
  <c r="G100" i="13" s="1"/>
  <c r="M103" i="9"/>
  <c r="G101" i="13" s="1"/>
  <c r="M105" i="9"/>
  <c r="G103" i="13" s="1"/>
  <c r="M110" i="9"/>
  <c r="G108" i="13" s="1"/>
  <c r="M116" i="9"/>
  <c r="G114" i="13" s="1"/>
  <c r="M120" i="9"/>
  <c r="G118" i="13" s="1"/>
  <c r="M122" i="9"/>
  <c r="G120" i="13" s="1"/>
  <c r="H105" i="9"/>
  <c r="E103" i="13" s="1"/>
  <c r="I111" i="9"/>
  <c r="F109" i="13" s="1"/>
  <c r="H116" i="9"/>
  <c r="E114" i="13" s="1"/>
  <c r="I119" i="9"/>
  <c r="F117" i="13" s="1"/>
  <c r="H122" i="9"/>
  <c r="E120" i="13" s="1"/>
  <c r="I78" i="9"/>
  <c r="F77" i="13" s="1"/>
  <c r="H55" i="9"/>
  <c r="E54" i="13" s="1"/>
  <c r="H71" i="9"/>
  <c r="E70" i="13" s="1"/>
  <c r="I83" i="9"/>
  <c r="F82" i="13" s="1"/>
  <c r="H86" i="9"/>
  <c r="E85" i="13" s="1"/>
  <c r="I92" i="9"/>
  <c r="F91" i="13" s="1"/>
  <c r="H97" i="9"/>
  <c r="E95" i="13" s="1"/>
  <c r="I38" i="9"/>
  <c r="F37" i="13" s="1"/>
  <c r="H51" i="9"/>
  <c r="E50" i="13" s="1"/>
  <c r="I33" i="9"/>
  <c r="F32" i="13" s="1"/>
  <c r="J87" i="9"/>
  <c r="O9" i="9"/>
  <c r="O14" i="9"/>
  <c r="O32" i="9"/>
  <c r="O44" i="9"/>
  <c r="O52" i="9"/>
  <c r="O65" i="9"/>
  <c r="O83" i="9"/>
  <c r="O90" i="9"/>
  <c r="O99" i="9"/>
  <c r="O105" i="9"/>
  <c r="O116" i="9"/>
  <c r="I109" i="9"/>
  <c r="F107" i="13" s="1"/>
  <c r="I118" i="9"/>
  <c r="F116" i="13" s="1"/>
  <c r="I102" i="9"/>
  <c r="F100" i="13" s="1"/>
  <c r="I44" i="9"/>
  <c r="F43" i="13" s="1"/>
  <c r="J68" i="9"/>
  <c r="I9" i="9"/>
  <c r="F8" i="13" s="1"/>
  <c r="N9" i="9"/>
  <c r="H8" i="13" s="1"/>
  <c r="N11" i="9"/>
  <c r="H10" i="13" s="1"/>
  <c r="N14" i="9"/>
  <c r="H13" i="13" s="1"/>
  <c r="N16" i="9"/>
  <c r="H15" i="13" s="1"/>
  <c r="N19" i="9"/>
  <c r="H18" i="13" s="1"/>
  <c r="N21" i="9"/>
  <c r="H20" i="13" s="1"/>
  <c r="N24" i="9"/>
  <c r="H23" i="13" s="1"/>
  <c r="N28" i="9"/>
  <c r="H27" i="13" s="1"/>
  <c r="N30" i="9"/>
  <c r="H29" i="13" s="1"/>
  <c r="N32" i="9"/>
  <c r="H31" i="13" s="1"/>
  <c r="N38" i="9"/>
  <c r="H37" i="13" s="1"/>
  <c r="N44" i="9"/>
  <c r="H43" i="13" s="1"/>
  <c r="N50" i="9"/>
  <c r="H49" i="13" s="1"/>
  <c r="N52" i="9"/>
  <c r="H51" i="13" s="1"/>
  <c r="N55" i="9"/>
  <c r="H54" i="13" s="1"/>
  <c r="N57" i="9"/>
  <c r="H56" i="13" s="1"/>
  <c r="N65" i="9"/>
  <c r="H64" i="13" s="1"/>
  <c r="N67" i="9"/>
  <c r="H66" i="13" s="1"/>
  <c r="N71" i="9"/>
  <c r="H70" i="13" s="1"/>
  <c r="N78" i="9"/>
  <c r="H77" i="13" s="1"/>
  <c r="N80" i="9"/>
  <c r="H79" i="13" s="1"/>
  <c r="N83" i="9"/>
  <c r="H82" i="13" s="1"/>
  <c r="N85" i="9"/>
  <c r="H84" i="13" s="1"/>
  <c r="N90" i="9"/>
  <c r="H89" i="13" s="1"/>
  <c r="N92" i="9"/>
  <c r="H91" i="13" s="1"/>
  <c r="N96" i="9"/>
  <c r="H94" i="13" s="1"/>
  <c r="N99" i="9"/>
  <c r="H97" i="13" s="1"/>
  <c r="N102" i="9"/>
  <c r="H100" i="13" s="1"/>
  <c r="N103" i="9"/>
  <c r="H101" i="13" s="1"/>
  <c r="N105" i="9"/>
  <c r="H103" i="13" s="1"/>
  <c r="N110" i="9"/>
  <c r="H108" i="13" s="1"/>
  <c r="N116" i="9"/>
  <c r="H114" i="13" s="1"/>
  <c r="N120" i="9"/>
  <c r="H118" i="13" s="1"/>
  <c r="N122" i="9"/>
  <c r="H120" i="13" s="1"/>
  <c r="I105" i="9"/>
  <c r="F103" i="13" s="1"/>
  <c r="H109" i="9"/>
  <c r="E107" i="13" s="1"/>
  <c r="I116" i="9"/>
  <c r="F114" i="13" s="1"/>
  <c r="H118" i="9"/>
  <c r="E116" i="13" s="1"/>
  <c r="I122" i="9"/>
  <c r="F120" i="13" s="1"/>
  <c r="I55" i="9"/>
  <c r="F54" i="13" s="1"/>
  <c r="H66" i="9"/>
  <c r="E65" i="13" s="1"/>
  <c r="I71" i="9"/>
  <c r="F70" i="13" s="1"/>
  <c r="H74" i="9"/>
  <c r="E73" i="13" s="1"/>
  <c r="I86" i="9"/>
  <c r="F85" i="13" s="1"/>
  <c r="H90" i="9"/>
  <c r="E89" i="13" s="1"/>
  <c r="I97" i="9"/>
  <c r="F95" i="13" s="1"/>
  <c r="H102" i="9"/>
  <c r="E100" i="13" s="1"/>
  <c r="H44" i="9"/>
  <c r="E43" i="13" s="1"/>
  <c r="H31" i="9"/>
  <c r="E30" i="13" s="1"/>
  <c r="I30" i="9"/>
  <c r="F29" i="13" s="1"/>
  <c r="M68" i="9"/>
  <c r="G67" i="13" s="1"/>
  <c r="O11" i="9"/>
  <c r="O16" i="9"/>
  <c r="O19" i="9"/>
  <c r="O24" i="9"/>
  <c r="O30" i="9"/>
  <c r="O38" i="9"/>
  <c r="O50" i="9"/>
  <c r="O55" i="9"/>
  <c r="O67" i="9"/>
  <c r="O78" i="9"/>
  <c r="O92" i="9"/>
  <c r="O103" i="9"/>
  <c r="O110" i="9"/>
  <c r="O120" i="9"/>
  <c r="I66" i="9"/>
  <c r="F65" i="13" s="1"/>
  <c r="H84" i="9"/>
  <c r="E83" i="13" s="1"/>
  <c r="I31" i="9"/>
  <c r="F30" i="13" s="1"/>
  <c r="M87" i="9"/>
  <c r="G86" i="13" s="1"/>
  <c r="J8" i="9"/>
  <c r="J17" i="9"/>
  <c r="J20" i="9"/>
  <c r="J27" i="9"/>
  <c r="J31" i="9"/>
  <c r="J39" i="9"/>
  <c r="J43" i="9"/>
  <c r="J51" i="9"/>
  <c r="J56" i="9"/>
  <c r="J66" i="9"/>
  <c r="J72" i="9"/>
  <c r="J74" i="9"/>
  <c r="J76" i="9"/>
  <c r="J86" i="9"/>
  <c r="J89" i="9"/>
  <c r="J104" i="9"/>
  <c r="J111" i="9"/>
  <c r="J115" i="9"/>
  <c r="J121" i="9"/>
  <c r="I106" i="9"/>
  <c r="F104" i="13" s="1"/>
  <c r="I120" i="9"/>
  <c r="F118" i="13" s="1"/>
  <c r="I79" i="9"/>
  <c r="F78" i="13" s="1"/>
  <c r="I67" i="9"/>
  <c r="F66" i="13" s="1"/>
  <c r="H70" i="9"/>
  <c r="E69" i="13" s="1"/>
  <c r="I52" i="9"/>
  <c r="F51" i="13" s="1"/>
  <c r="O56" i="9"/>
  <c r="O115" i="9"/>
  <c r="I121" i="9"/>
  <c r="F119" i="13" s="1"/>
  <c r="J10" i="9"/>
  <c r="J37" i="9"/>
  <c r="J70" i="9"/>
  <c r="J91" i="9"/>
  <c r="J106" i="9"/>
  <c r="O7" i="9"/>
  <c r="M22" i="9"/>
  <c r="G21" i="13" s="1"/>
  <c r="M70" i="9"/>
  <c r="G69" i="13" s="1"/>
  <c r="M84" i="9"/>
  <c r="G83" i="13" s="1"/>
  <c r="M109" i="9"/>
  <c r="G107" i="13" s="1"/>
  <c r="N7" i="9"/>
  <c r="H6" i="13" s="1"/>
  <c r="H76" i="9"/>
  <c r="E75" i="13" s="1"/>
  <c r="H91" i="9"/>
  <c r="E90" i="13" s="1"/>
  <c r="H50" i="9"/>
  <c r="E49" i="13" s="1"/>
  <c r="H8" i="9"/>
  <c r="E7" i="13" s="1"/>
  <c r="N22" i="9"/>
  <c r="H21" i="13" s="1"/>
  <c r="N79" i="9"/>
  <c r="H78" i="13" s="1"/>
  <c r="N106" i="9"/>
  <c r="H104" i="13" s="1"/>
  <c r="N119" i="9"/>
  <c r="H117" i="13" s="1"/>
  <c r="H85" i="9"/>
  <c r="E84" i="13" s="1"/>
  <c r="O10" i="9"/>
  <c r="O33" i="9"/>
  <c r="O53" i="9"/>
  <c r="O79" i="9"/>
  <c r="J7" i="9"/>
  <c r="I39" i="9"/>
  <c r="F38" i="13" s="1"/>
  <c r="N87" i="9"/>
  <c r="H86" i="13" s="1"/>
  <c r="M8" i="9"/>
  <c r="G7" i="13" s="1"/>
  <c r="M17" i="9"/>
  <c r="G16" i="13" s="1"/>
  <c r="M20" i="9"/>
  <c r="G19" i="13" s="1"/>
  <c r="M27" i="9"/>
  <c r="G26" i="13" s="1"/>
  <c r="M31" i="9"/>
  <c r="G30" i="13" s="1"/>
  <c r="M39" i="9"/>
  <c r="G38" i="13" s="1"/>
  <c r="M43" i="9"/>
  <c r="G42" i="13" s="1"/>
  <c r="M51" i="9"/>
  <c r="G50" i="13" s="1"/>
  <c r="M56" i="9"/>
  <c r="G55" i="13" s="1"/>
  <c r="M66" i="9"/>
  <c r="G65" i="13" s="1"/>
  <c r="M72" i="9"/>
  <c r="G71" i="13" s="1"/>
  <c r="M74" i="9"/>
  <c r="G73" i="13" s="1"/>
  <c r="M76" i="9"/>
  <c r="G75" i="13" s="1"/>
  <c r="M86" i="9"/>
  <c r="G85" i="13" s="1"/>
  <c r="M89" i="9"/>
  <c r="G88" i="13" s="1"/>
  <c r="M104" i="9"/>
  <c r="G102" i="13" s="1"/>
  <c r="M111" i="9"/>
  <c r="G109" i="13" s="1"/>
  <c r="M115" i="9"/>
  <c r="G113" i="13" s="1"/>
  <c r="M121" i="9"/>
  <c r="G119" i="13" s="1"/>
  <c r="I70" i="9"/>
  <c r="F69" i="13" s="1"/>
  <c r="O8" i="9"/>
  <c r="O20" i="9"/>
  <c r="O27" i="9"/>
  <c r="O39" i="9"/>
  <c r="O51" i="9"/>
  <c r="O72" i="9"/>
  <c r="O76" i="9"/>
  <c r="O86" i="9"/>
  <c r="O104" i="9"/>
  <c r="O121" i="9"/>
  <c r="I80" i="9"/>
  <c r="F79" i="13" s="1"/>
  <c r="I72" i="9"/>
  <c r="F71" i="13" s="1"/>
  <c r="H96" i="9"/>
  <c r="E94" i="13" s="1"/>
  <c r="N68" i="9"/>
  <c r="H67" i="13" s="1"/>
  <c r="J22" i="9"/>
  <c r="J33" i="9"/>
  <c r="J53" i="9"/>
  <c r="J79" i="9"/>
  <c r="J97" i="9"/>
  <c r="J119" i="9"/>
  <c r="H56" i="9"/>
  <c r="E55" i="13" s="1"/>
  <c r="I84" i="9"/>
  <c r="F83" i="13" s="1"/>
  <c r="H32" i="9"/>
  <c r="E31" i="13" s="1"/>
  <c r="M10" i="9"/>
  <c r="G9" i="13" s="1"/>
  <c r="M33" i="9"/>
  <c r="G32" i="13" s="1"/>
  <c r="M53" i="9"/>
  <c r="G52" i="13" s="1"/>
  <c r="M79" i="9"/>
  <c r="G78" i="13" s="1"/>
  <c r="M97" i="9"/>
  <c r="G95" i="13" s="1"/>
  <c r="M118" i="9"/>
  <c r="G116" i="13" s="1"/>
  <c r="H104" i="9"/>
  <c r="E102" i="13" s="1"/>
  <c r="I56" i="9"/>
  <c r="F55" i="13" s="1"/>
  <c r="H65" i="9"/>
  <c r="E64" i="13" s="1"/>
  <c r="I45" i="9"/>
  <c r="F44" i="13" s="1"/>
  <c r="N15" i="9"/>
  <c r="H14" i="13" s="1"/>
  <c r="N37" i="9"/>
  <c r="H36" i="13" s="1"/>
  <c r="N91" i="9"/>
  <c r="H90" i="13" s="1"/>
  <c r="M7" i="9"/>
  <c r="G6" i="13" s="1"/>
  <c r="I99" i="9"/>
  <c r="F97" i="13" s="1"/>
  <c r="O15" i="9"/>
  <c r="O45" i="9"/>
  <c r="O70" i="9"/>
  <c r="O97" i="9"/>
  <c r="O118" i="9"/>
  <c r="H106" i="9"/>
  <c r="E104" i="13" s="1"/>
  <c r="I85" i="9"/>
  <c r="F84" i="13" s="1"/>
  <c r="H52" i="9"/>
  <c r="E51" i="13" s="1"/>
  <c r="O87" i="9"/>
  <c r="N8" i="9"/>
  <c r="H7" i="13" s="1"/>
  <c r="N17" i="9"/>
  <c r="H16" i="13" s="1"/>
  <c r="N20" i="9"/>
  <c r="H19" i="13" s="1"/>
  <c r="N27" i="9"/>
  <c r="H26" i="13" s="1"/>
  <c r="N31" i="9"/>
  <c r="H30" i="13" s="1"/>
  <c r="N39" i="9"/>
  <c r="H38" i="13" s="1"/>
  <c r="N43" i="9"/>
  <c r="H42" i="13" s="1"/>
  <c r="N51" i="9"/>
  <c r="H50" i="13" s="1"/>
  <c r="N56" i="9"/>
  <c r="H55" i="13" s="1"/>
  <c r="N66" i="9"/>
  <c r="H65" i="13" s="1"/>
  <c r="N72" i="9"/>
  <c r="H71" i="13" s="1"/>
  <c r="N74" i="9"/>
  <c r="H73" i="13" s="1"/>
  <c r="N76" i="9"/>
  <c r="H75" i="13" s="1"/>
  <c r="N86" i="9"/>
  <c r="H85" i="13" s="1"/>
  <c r="N89" i="9"/>
  <c r="H88" i="13" s="1"/>
  <c r="N104" i="9"/>
  <c r="H102" i="13" s="1"/>
  <c r="N111" i="9"/>
  <c r="H109" i="13" s="1"/>
  <c r="N115" i="9"/>
  <c r="H113" i="13" s="1"/>
  <c r="N121" i="9"/>
  <c r="H119" i="13" s="1"/>
  <c r="H121" i="9"/>
  <c r="E119" i="13" s="1"/>
  <c r="H80" i="9"/>
  <c r="E79" i="13" s="1"/>
  <c r="H72" i="9"/>
  <c r="E71" i="13" s="1"/>
  <c r="H43" i="9"/>
  <c r="E42" i="13" s="1"/>
  <c r="H53" i="9"/>
  <c r="E52" i="13" s="1"/>
  <c r="H37" i="9"/>
  <c r="E36" i="13" s="1"/>
  <c r="H68" i="9"/>
  <c r="E67" i="13" s="1"/>
  <c r="O17" i="9"/>
  <c r="O31" i="9"/>
  <c r="O43" i="9"/>
  <c r="O66" i="9"/>
  <c r="O74" i="9"/>
  <c r="O89" i="9"/>
  <c r="O111" i="9"/>
  <c r="I103" i="9"/>
  <c r="F101" i="13" s="1"/>
  <c r="H89" i="9"/>
  <c r="E88" i="13" s="1"/>
  <c r="I37" i="9"/>
  <c r="F36" i="13" s="1"/>
  <c r="J15" i="9"/>
  <c r="J45" i="9"/>
  <c r="J84" i="9"/>
  <c r="J109" i="9"/>
  <c r="J118" i="9"/>
  <c r="H115" i="9"/>
  <c r="E113" i="13" s="1"/>
  <c r="I96" i="9"/>
  <c r="F94" i="13" s="1"/>
  <c r="H45" i="9"/>
  <c r="E44" i="13" s="1"/>
  <c r="O68" i="9"/>
  <c r="M15" i="9"/>
  <c r="G14" i="13" s="1"/>
  <c r="M37" i="9"/>
  <c r="G36" i="13" s="1"/>
  <c r="M45" i="9"/>
  <c r="G44" i="13" s="1"/>
  <c r="M91" i="9"/>
  <c r="G90" i="13" s="1"/>
  <c r="M106" i="9"/>
  <c r="G104" i="13" s="1"/>
  <c r="M119" i="9"/>
  <c r="G117" i="13" s="1"/>
  <c r="I115" i="9"/>
  <c r="F113" i="13" s="1"/>
  <c r="I32" i="9"/>
  <c r="F31" i="13" s="1"/>
  <c r="N10" i="9"/>
  <c r="H9" i="13" s="1"/>
  <c r="N33" i="9"/>
  <c r="H32" i="13" s="1"/>
  <c r="N53" i="9"/>
  <c r="H52" i="13" s="1"/>
  <c r="N70" i="9"/>
  <c r="H69" i="13" s="1"/>
  <c r="N97" i="9"/>
  <c r="H95" i="13" s="1"/>
  <c r="N118" i="9"/>
  <c r="H116" i="13" s="1"/>
  <c r="I104" i="9"/>
  <c r="F102" i="13" s="1"/>
  <c r="I76" i="9"/>
  <c r="F75" i="13" s="1"/>
  <c r="I91" i="9"/>
  <c r="F90" i="13" s="1"/>
  <c r="I50" i="9"/>
  <c r="F49" i="13" s="1"/>
  <c r="O37" i="9"/>
  <c r="O84" i="9"/>
  <c r="O106" i="9"/>
  <c r="O119" i="9"/>
  <c r="I110" i="9"/>
  <c r="F108" i="13" s="1"/>
  <c r="H57" i="9"/>
  <c r="E56" i="13" s="1"/>
  <c r="H99" i="9"/>
  <c r="E97" i="13" s="1"/>
  <c r="N45" i="9"/>
  <c r="H44" i="13" s="1"/>
  <c r="N84" i="9"/>
  <c r="H83" i="13" s="1"/>
  <c r="N109" i="9"/>
  <c r="H107" i="13" s="1"/>
  <c r="H110" i="9"/>
  <c r="E108" i="13" s="1"/>
  <c r="O22" i="9"/>
  <c r="O91" i="9"/>
  <c r="O109" i="9"/>
  <c r="H67" i="9"/>
  <c r="E66" i="13" s="1"/>
  <c r="H7" i="9"/>
  <c r="E6" i="13" s="1"/>
  <c r="H20" i="9"/>
  <c r="E19" i="13" s="1"/>
  <c r="H27" i="9"/>
  <c r="E26" i="13" s="1"/>
  <c r="H14" i="9"/>
  <c r="E13" i="13" s="1"/>
  <c r="P127" i="3"/>
  <c r="W127" i="3" s="1"/>
  <c r="H15" i="9"/>
  <c r="E14" i="13" s="1"/>
  <c r="H22" i="9"/>
  <c r="E21" i="13" s="1"/>
  <c r="I7" i="9"/>
  <c r="F6" i="13" s="1"/>
  <c r="H16" i="9"/>
  <c r="E15" i="13" s="1"/>
  <c r="H19" i="9"/>
  <c r="E18" i="13" s="1"/>
  <c r="I28" i="9"/>
  <c r="F27" i="13" s="1"/>
  <c r="I27" i="9"/>
  <c r="F26" i="13" s="1"/>
  <c r="H28" i="9"/>
  <c r="E27" i="13" s="1"/>
  <c r="H21" i="9"/>
  <c r="E20" i="13" s="1"/>
  <c r="I16" i="9"/>
  <c r="F15" i="13" s="1"/>
  <c r="I14" i="9"/>
  <c r="F13" i="13" s="1"/>
  <c r="I22" i="9"/>
  <c r="F21" i="13" s="1"/>
  <c r="H10" i="9"/>
  <c r="E9" i="13" s="1"/>
  <c r="I19" i="9"/>
  <c r="F18" i="13" s="1"/>
  <c r="I21" i="9"/>
  <c r="F20" i="13" s="1"/>
  <c r="I11" i="9"/>
  <c r="F10" i="13" s="1"/>
  <c r="I25" i="9"/>
  <c r="F24" i="13" s="1"/>
  <c r="I17" i="9"/>
  <c r="F16" i="13" s="1"/>
  <c r="H17" i="9"/>
  <c r="E16" i="13" s="1"/>
  <c r="I24" i="9"/>
  <c r="F23" i="13" s="1"/>
  <c r="I10" i="9"/>
  <c r="F9" i="13" s="1"/>
  <c r="H11" i="9"/>
  <c r="E10" i="13" s="1"/>
  <c r="H24" i="9"/>
  <c r="E23" i="13" s="1"/>
  <c r="H25" i="9"/>
  <c r="E24" i="13" s="1"/>
  <c r="I15" i="9"/>
  <c r="F14" i="13" s="1"/>
  <c r="I20" i="9"/>
  <c r="F19" i="13" s="1"/>
  <c r="W32" i="3"/>
  <c r="W56" i="3"/>
  <c r="W80" i="3"/>
  <c r="W104" i="3"/>
  <c r="W128" i="3"/>
  <c r="W152" i="3"/>
  <c r="W26" i="3"/>
  <c r="W50" i="3"/>
  <c r="W74" i="3"/>
  <c r="W98" i="3"/>
  <c r="W122" i="3"/>
  <c r="W146" i="3"/>
  <c r="W20" i="3"/>
  <c r="W44" i="3"/>
  <c r="W68" i="3"/>
  <c r="W92" i="3"/>
  <c r="W116" i="3"/>
  <c r="W140" i="3"/>
  <c r="W38" i="3"/>
  <c r="W62" i="3"/>
  <c r="W86" i="3"/>
  <c r="W110" i="3"/>
  <c r="W134" i="3"/>
  <c r="W158" i="3"/>
  <c r="E19" i="10"/>
  <c r="J12" i="10"/>
  <c r="E12" i="10"/>
  <c r="E20" i="10" l="1"/>
  <c r="V71" i="16"/>
  <c r="V74" i="16"/>
  <c r="V30" i="16"/>
  <c r="V54" i="16"/>
  <c r="V45" i="16"/>
  <c r="B40" i="17" s="1"/>
  <c r="V38" i="16"/>
  <c r="V85" i="16"/>
  <c r="V113" i="16"/>
  <c r="V78" i="16"/>
  <c r="V25" i="16"/>
  <c r="V43" i="16"/>
  <c r="V112" i="16"/>
  <c r="V98" i="16"/>
  <c r="V41" i="16"/>
  <c r="V116" i="16"/>
  <c r="V111" i="16"/>
  <c r="V51" i="16"/>
  <c r="V11" i="16"/>
  <c r="V8" i="16"/>
  <c r="V77" i="16"/>
  <c r="V105" i="16"/>
  <c r="V99" i="16"/>
  <c r="V88" i="16"/>
  <c r="V29" i="16"/>
  <c r="V73" i="16"/>
  <c r="V117" i="16"/>
  <c r="B39" i="17"/>
  <c r="V28" i="16"/>
  <c r="V125" i="16"/>
  <c r="V34" i="16"/>
  <c r="K42" i="17" s="1"/>
  <c r="V21" i="16"/>
  <c r="K34" i="17" s="1"/>
  <c r="B52" i="17"/>
  <c r="V35" i="16"/>
  <c r="V84" i="16"/>
  <c r="V87" i="16"/>
  <c r="V124" i="16"/>
  <c r="V9" i="16"/>
  <c r="V37" i="16"/>
  <c r="V53" i="16"/>
  <c r="V86" i="16"/>
  <c r="V93" i="16"/>
  <c r="V97" i="16"/>
  <c r="V104" i="16"/>
  <c r="V60" i="16"/>
  <c r="V79" i="16"/>
  <c r="V65" i="16"/>
  <c r="K46" i="17" s="1"/>
  <c r="V103" i="16"/>
  <c r="B54" i="17" s="1"/>
  <c r="V64" i="16"/>
  <c r="B46" i="17" s="1"/>
  <c r="V94" i="16"/>
  <c r="V66" i="16"/>
  <c r="V55" i="16"/>
  <c r="V61" i="16"/>
  <c r="V81" i="16"/>
  <c r="V72" i="16"/>
  <c r="K47" i="17" s="1"/>
  <c r="V7" i="16"/>
  <c r="D8" i="18"/>
  <c r="V31" i="16"/>
  <c r="V49" i="16"/>
  <c r="B53" i="17" s="1"/>
  <c r="V92" i="16"/>
  <c r="V106" i="16"/>
  <c r="V126" i="16"/>
  <c r="V50" i="16"/>
  <c r="V80" i="16"/>
  <c r="V107" i="16"/>
  <c r="V42" i="16"/>
  <c r="V123" i="16"/>
  <c r="V58" i="16"/>
  <c r="V100" i="16"/>
  <c r="V16" i="16"/>
  <c r="V22" i="16"/>
  <c r="V20" i="16"/>
  <c r="V15" i="16"/>
  <c r="K36" i="17"/>
  <c r="T36" i="17"/>
  <c r="T34" i="17"/>
  <c r="V59" i="16"/>
  <c r="E101" i="9"/>
  <c r="D99" i="13" s="1"/>
  <c r="I99" i="13"/>
  <c r="U9" i="3"/>
  <c r="V9" i="3" s="1"/>
  <c r="V166" i="3"/>
  <c r="V165" i="3"/>
  <c r="V123" i="3"/>
  <c r="V27" i="3"/>
  <c r="V126" i="3"/>
  <c r="V132" i="3"/>
  <c r="V111" i="3"/>
  <c r="V144" i="3"/>
  <c r="V143" i="3"/>
  <c r="V11" i="3"/>
  <c r="V45" i="3"/>
  <c r="V119" i="3"/>
  <c r="V17" i="3"/>
  <c r="V88" i="3"/>
  <c r="V148" i="3"/>
  <c r="V30" i="3"/>
  <c r="V77" i="3"/>
  <c r="V83" i="3"/>
  <c r="V29" i="3"/>
  <c r="V124" i="3"/>
  <c r="V53" i="3"/>
  <c r="V159" i="3"/>
  <c r="V120" i="3"/>
  <c r="V40" i="3"/>
  <c r="V117" i="3"/>
  <c r="V82" i="3"/>
  <c r="V153" i="3"/>
  <c r="V34" i="3"/>
  <c r="V35" i="3"/>
  <c r="V65" i="3"/>
  <c r="V130" i="3"/>
  <c r="V16" i="3"/>
  <c r="V106" i="3"/>
  <c r="V154" i="3"/>
  <c r="V113" i="3"/>
  <c r="V94" i="3"/>
  <c r="V63" i="3"/>
  <c r="V21" i="3"/>
  <c r="V135" i="3"/>
  <c r="V99" i="3"/>
  <c r="V101" i="3"/>
  <c r="V51" i="3"/>
  <c r="V89" i="3"/>
  <c r="V75" i="3"/>
  <c r="V107" i="3"/>
  <c r="V90" i="3"/>
  <c r="V100" i="3"/>
  <c r="V125" i="3"/>
  <c r="V39" i="3"/>
  <c r="V71" i="3"/>
  <c r="V57" i="3"/>
  <c r="V118" i="3"/>
  <c r="V160" i="3"/>
  <c r="V33" i="3"/>
  <c r="V147" i="3"/>
  <c r="V22" i="3"/>
  <c r="V129" i="3"/>
  <c r="V41" i="3"/>
  <c r="V93" i="3"/>
  <c r="V131" i="3"/>
  <c r="V69" i="3"/>
  <c r="V15" i="3"/>
  <c r="V46" i="3"/>
  <c r="V95" i="3"/>
  <c r="V47" i="3"/>
  <c r="V76" i="3"/>
  <c r="V114" i="3"/>
  <c r="V58" i="3"/>
  <c r="V142" i="3"/>
  <c r="V81" i="3"/>
  <c r="V10" i="3"/>
  <c r="V52" i="3"/>
  <c r="V70" i="3"/>
  <c r="V64" i="3"/>
  <c r="V59" i="3"/>
  <c r="V136" i="3"/>
  <c r="V23" i="3"/>
  <c r="V28" i="3"/>
  <c r="V112" i="3"/>
  <c r="V105" i="3"/>
  <c r="V141" i="3"/>
  <c r="V137" i="3"/>
  <c r="V87" i="3"/>
  <c r="E72" i="9"/>
  <c r="D71" i="13" s="1"/>
  <c r="I71" i="13"/>
  <c r="E10" i="9"/>
  <c r="D9" i="13" s="1"/>
  <c r="I9" i="13"/>
  <c r="E92" i="9"/>
  <c r="D91" i="13" s="1"/>
  <c r="I91" i="13"/>
  <c r="E66" i="9"/>
  <c r="D65" i="13" s="1"/>
  <c r="I65" i="13"/>
  <c r="E109" i="9"/>
  <c r="D107" i="13" s="1"/>
  <c r="I107" i="13"/>
  <c r="E68" i="9"/>
  <c r="D67" i="13" s="1"/>
  <c r="I67" i="13"/>
  <c r="E67" i="9"/>
  <c r="D66" i="13" s="1"/>
  <c r="I66" i="13"/>
  <c r="E44" i="9"/>
  <c r="D43" i="13" s="1"/>
  <c r="I43" i="13"/>
  <c r="E22" i="9"/>
  <c r="D21" i="13" s="1"/>
  <c r="I21" i="13"/>
  <c r="E119" i="9"/>
  <c r="D117" i="13" s="1"/>
  <c r="I117" i="13"/>
  <c r="E17" i="9"/>
  <c r="D16" i="13" s="1"/>
  <c r="I16" i="13"/>
  <c r="E97" i="9"/>
  <c r="D95" i="13" s="1"/>
  <c r="I95" i="13"/>
  <c r="E121" i="9"/>
  <c r="D119" i="13" s="1"/>
  <c r="I119" i="13"/>
  <c r="E20" i="9"/>
  <c r="D19" i="13" s="1"/>
  <c r="I19" i="13"/>
  <c r="E50" i="9"/>
  <c r="D49" i="13" s="1"/>
  <c r="I49" i="13"/>
  <c r="E116" i="9"/>
  <c r="D114" i="13" s="1"/>
  <c r="I114" i="13"/>
  <c r="E32" i="9"/>
  <c r="D31" i="13" s="1"/>
  <c r="I31" i="13"/>
  <c r="E96" i="9"/>
  <c r="D94" i="13" s="1"/>
  <c r="I94" i="13"/>
  <c r="E73" i="9"/>
  <c r="D72" i="13" s="1"/>
  <c r="I72" i="13"/>
  <c r="E12" i="9"/>
  <c r="D11" i="13" s="1"/>
  <c r="I11" i="13"/>
  <c r="E25" i="9"/>
  <c r="D24" i="13" s="1"/>
  <c r="I24" i="13"/>
  <c r="E81" i="9"/>
  <c r="D80" i="13" s="1"/>
  <c r="I80" i="13"/>
  <c r="E74" i="9"/>
  <c r="D73" i="13" s="1"/>
  <c r="I73" i="13"/>
  <c r="E57" i="9"/>
  <c r="D56" i="13" s="1"/>
  <c r="I56" i="13"/>
  <c r="E78" i="9"/>
  <c r="D77" i="13" s="1"/>
  <c r="I77" i="13"/>
  <c r="E28" i="9"/>
  <c r="D27" i="13" s="1"/>
  <c r="I27" i="13"/>
  <c r="E93" i="9"/>
  <c r="D92" i="13" s="1"/>
  <c r="I92" i="13"/>
  <c r="E39" i="9"/>
  <c r="D38" i="13" s="1"/>
  <c r="I38" i="13"/>
  <c r="E122" i="9"/>
  <c r="D120" i="13" s="1"/>
  <c r="I120" i="13"/>
  <c r="E35" i="9"/>
  <c r="D34" i="13" s="1"/>
  <c r="I34" i="13"/>
  <c r="E31" i="9"/>
  <c r="D30" i="13" s="1"/>
  <c r="I30" i="13"/>
  <c r="E106" i="9"/>
  <c r="D104" i="13" s="1"/>
  <c r="I104" i="13"/>
  <c r="E70" i="9"/>
  <c r="D69" i="13" s="1"/>
  <c r="I69" i="13"/>
  <c r="E104" i="9"/>
  <c r="D102" i="13" s="1"/>
  <c r="I102" i="13"/>
  <c r="E79" i="9"/>
  <c r="D78" i="13" s="1"/>
  <c r="I78" i="13"/>
  <c r="E120" i="9"/>
  <c r="D118" i="13" s="1"/>
  <c r="I118" i="13"/>
  <c r="E38" i="9"/>
  <c r="D37" i="13" s="1"/>
  <c r="I37" i="13"/>
  <c r="E105" i="9"/>
  <c r="D103" i="13" s="1"/>
  <c r="I103" i="13"/>
  <c r="E14" i="9"/>
  <c r="D13" i="13" s="1"/>
  <c r="I13" i="13"/>
  <c r="E85" i="9"/>
  <c r="D84" i="13" s="1"/>
  <c r="I84" i="13"/>
  <c r="E62" i="9"/>
  <c r="D61" i="13" s="1"/>
  <c r="I61" i="13"/>
  <c r="E63" i="9"/>
  <c r="D62" i="13" s="1"/>
  <c r="I62" i="13"/>
  <c r="E77" i="9"/>
  <c r="D76" i="13" s="1"/>
  <c r="I76" i="13"/>
  <c r="E19" i="9"/>
  <c r="D18" i="13" s="1"/>
  <c r="I18" i="13"/>
  <c r="E83" i="9"/>
  <c r="D82" i="13" s="1"/>
  <c r="I82" i="13"/>
  <c r="E46" i="9"/>
  <c r="D45" i="13" s="1"/>
  <c r="I45" i="13"/>
  <c r="E47" i="9"/>
  <c r="D46" i="13" s="1"/>
  <c r="I46" i="13"/>
  <c r="E123" i="9"/>
  <c r="D121" i="13" s="1"/>
  <c r="I121" i="13"/>
  <c r="E43" i="9"/>
  <c r="D42" i="13" s="1"/>
  <c r="I42" i="13"/>
  <c r="E11" i="9"/>
  <c r="D10" i="13" s="1"/>
  <c r="I10" i="13"/>
  <c r="E21" i="9"/>
  <c r="D20" i="13" s="1"/>
  <c r="I20" i="13"/>
  <c r="E49" i="9"/>
  <c r="D48" i="13" s="1"/>
  <c r="I48" i="13"/>
  <c r="E100" i="9"/>
  <c r="D98" i="13" s="1"/>
  <c r="I98" i="13"/>
  <c r="E55" i="9"/>
  <c r="D54" i="13" s="1"/>
  <c r="I54" i="13"/>
  <c r="E40" i="9"/>
  <c r="D39" i="13" s="1"/>
  <c r="I39" i="13"/>
  <c r="E84" i="9"/>
  <c r="D83" i="13" s="1"/>
  <c r="I83" i="13"/>
  <c r="E111" i="9"/>
  <c r="D109" i="13" s="1"/>
  <c r="I109" i="13"/>
  <c r="E45" i="9"/>
  <c r="D44" i="13" s="1"/>
  <c r="I44" i="13"/>
  <c r="E86" i="9"/>
  <c r="D85" i="13" s="1"/>
  <c r="I85" i="13"/>
  <c r="E115" i="9"/>
  <c r="D113" i="13" s="1"/>
  <c r="I113" i="13"/>
  <c r="E110" i="9"/>
  <c r="D108" i="13" s="1"/>
  <c r="I108" i="13"/>
  <c r="E30" i="9"/>
  <c r="D29" i="13" s="1"/>
  <c r="I29" i="13"/>
  <c r="E99" i="9"/>
  <c r="D97" i="13" s="1"/>
  <c r="I97" i="13"/>
  <c r="E80" i="9"/>
  <c r="D79" i="13" s="1"/>
  <c r="I79" i="13"/>
  <c r="E58" i="9"/>
  <c r="D57" i="13" s="1"/>
  <c r="I57" i="13"/>
  <c r="E61" i="9"/>
  <c r="D60" i="13" s="1"/>
  <c r="I60" i="13"/>
  <c r="E98" i="9"/>
  <c r="D96" i="13" s="1"/>
  <c r="I96" i="13"/>
  <c r="E34" i="9"/>
  <c r="D33" i="13" s="1"/>
  <c r="I33" i="13"/>
  <c r="E26" i="9"/>
  <c r="D25" i="13" s="1"/>
  <c r="I25" i="13"/>
  <c r="E51" i="9"/>
  <c r="D50" i="13" s="1"/>
  <c r="I50" i="13"/>
  <c r="E16" i="9"/>
  <c r="D15" i="13" s="1"/>
  <c r="I15" i="13"/>
  <c r="E65" i="9"/>
  <c r="D64" i="13" s="1"/>
  <c r="I64" i="13"/>
  <c r="E117" i="9"/>
  <c r="D115" i="13" s="1"/>
  <c r="I115" i="13"/>
  <c r="E52" i="9"/>
  <c r="D51" i="13" s="1"/>
  <c r="I51" i="13"/>
  <c r="E91" i="9"/>
  <c r="D90" i="13" s="1"/>
  <c r="I90" i="13"/>
  <c r="E118" i="9"/>
  <c r="D116" i="13" s="1"/>
  <c r="I116" i="13"/>
  <c r="E27" i="9"/>
  <c r="D26" i="13" s="1"/>
  <c r="I26" i="13"/>
  <c r="E102" i="9"/>
  <c r="D100" i="13" s="1"/>
  <c r="I100" i="13"/>
  <c r="E112" i="9"/>
  <c r="D110" i="13" s="1"/>
  <c r="I110" i="13"/>
  <c r="E41" i="9"/>
  <c r="D40" i="13" s="1"/>
  <c r="I40" i="13"/>
  <c r="E53" i="9"/>
  <c r="D52" i="13" s="1"/>
  <c r="I52" i="13"/>
  <c r="E9" i="9"/>
  <c r="D8" i="13" s="1"/>
  <c r="I8" i="13"/>
  <c r="E37" i="9"/>
  <c r="D36" i="13" s="1"/>
  <c r="I36" i="13"/>
  <c r="E89" i="9"/>
  <c r="D88" i="13" s="1"/>
  <c r="I88" i="13"/>
  <c r="E87" i="9"/>
  <c r="D86" i="13" s="1"/>
  <c r="I86" i="13"/>
  <c r="E15" i="9"/>
  <c r="D14" i="13" s="1"/>
  <c r="I14" i="13"/>
  <c r="E76" i="9"/>
  <c r="D75" i="13" s="1"/>
  <c r="I75" i="13"/>
  <c r="E33" i="9"/>
  <c r="D32" i="13" s="1"/>
  <c r="I32" i="13"/>
  <c r="E7" i="9"/>
  <c r="D6" i="13" s="1"/>
  <c r="I6" i="13"/>
  <c r="E56" i="9"/>
  <c r="D55" i="13" s="1"/>
  <c r="I55" i="13"/>
  <c r="E103" i="9"/>
  <c r="D101" i="13" s="1"/>
  <c r="I101" i="13"/>
  <c r="E24" i="9"/>
  <c r="D23" i="13" s="1"/>
  <c r="I23" i="13"/>
  <c r="E90" i="9"/>
  <c r="D89" i="13" s="1"/>
  <c r="I89" i="13"/>
  <c r="E71" i="9"/>
  <c r="D70" i="13" s="1"/>
  <c r="I70" i="13"/>
  <c r="E59" i="9"/>
  <c r="D58" i="13" s="1"/>
  <c r="I58" i="13"/>
  <c r="E107" i="9"/>
  <c r="D105" i="13" s="1"/>
  <c r="I105" i="13"/>
  <c r="E113" i="9"/>
  <c r="D111" i="13" s="1"/>
  <c r="I111" i="13"/>
  <c r="E8" i="9"/>
  <c r="D7" i="13" s="1"/>
  <c r="I7" i="13"/>
  <c r="P9" i="3"/>
  <c r="W9" i="3" s="1"/>
  <c r="P177" i="3"/>
  <c r="W177" i="3" s="1"/>
  <c r="P91" i="3"/>
  <c r="W91" i="3" s="1"/>
  <c r="P109" i="3"/>
  <c r="W109" i="3" s="1"/>
  <c r="P19" i="3"/>
  <c r="W19" i="3" s="1"/>
  <c r="P79" i="3"/>
  <c r="W79" i="3" s="1"/>
  <c r="P171" i="3"/>
  <c r="W171" i="3" s="1"/>
  <c r="P165" i="3"/>
  <c r="W165" i="3" s="1"/>
  <c r="P172" i="3"/>
  <c r="W172" i="3" s="1"/>
  <c r="P166" i="3"/>
  <c r="W166" i="3" s="1"/>
  <c r="P173" i="3"/>
  <c r="W173" i="3" s="1"/>
  <c r="P11" i="3"/>
  <c r="W11" i="3" s="1"/>
  <c r="P31" i="3"/>
  <c r="W31" i="3" s="1"/>
  <c r="P25" i="3"/>
  <c r="W25" i="3" s="1"/>
  <c r="P150" i="3"/>
  <c r="W150" i="3" s="1"/>
  <c r="P161" i="3"/>
  <c r="W161" i="3" s="1"/>
  <c r="P156" i="3"/>
  <c r="W156" i="3" s="1"/>
  <c r="P142" i="3"/>
  <c r="W142" i="3" s="1"/>
  <c r="P126" i="3"/>
  <c r="W126" i="3" s="1"/>
  <c r="P137" i="3"/>
  <c r="W137" i="3" s="1"/>
  <c r="P144" i="3"/>
  <c r="W144" i="3" s="1"/>
  <c r="P77" i="3"/>
  <c r="W77" i="3" s="1"/>
  <c r="P143" i="3"/>
  <c r="W143" i="3" s="1"/>
  <c r="P90" i="3"/>
  <c r="W90" i="3" s="1"/>
  <c r="P102" i="3"/>
  <c r="W102" i="3" s="1"/>
  <c r="P132" i="3"/>
  <c r="W132" i="3" s="1"/>
  <c r="P108" i="3"/>
  <c r="W108" i="3" s="1"/>
  <c r="P66" i="3"/>
  <c r="W66" i="3" s="1"/>
  <c r="P96" i="3"/>
  <c r="W96" i="3" s="1"/>
  <c r="P125" i="3"/>
  <c r="W125" i="3" s="1"/>
  <c r="P101" i="3"/>
  <c r="W101" i="3" s="1"/>
  <c r="P114" i="3"/>
  <c r="W114" i="3" s="1"/>
  <c r="P64" i="3"/>
  <c r="W64" i="3" s="1"/>
  <c r="P113" i="3"/>
  <c r="W113" i="3" s="1"/>
  <c r="P131" i="3"/>
  <c r="W131" i="3" s="1"/>
  <c r="P65" i="3"/>
  <c r="W65" i="3" s="1"/>
  <c r="P95" i="3"/>
  <c r="W95" i="3" s="1"/>
  <c r="P160" i="3"/>
  <c r="W160" i="3" s="1"/>
  <c r="P155" i="3"/>
  <c r="W155" i="3" s="1"/>
  <c r="P119" i="3"/>
  <c r="W119" i="3" s="1"/>
  <c r="P76" i="3"/>
  <c r="W76" i="3" s="1"/>
  <c r="P107" i="3"/>
  <c r="W107" i="3" s="1"/>
  <c r="P154" i="3"/>
  <c r="W154" i="3" s="1"/>
  <c r="P138" i="3"/>
  <c r="W138" i="3" s="1"/>
  <c r="P130" i="3"/>
  <c r="W130" i="3" s="1"/>
  <c r="P120" i="3"/>
  <c r="W120" i="3" s="1"/>
  <c r="P106" i="3"/>
  <c r="W106" i="3" s="1"/>
  <c r="P84" i="3"/>
  <c r="W84" i="3" s="1"/>
  <c r="P89" i="3"/>
  <c r="W89" i="3" s="1"/>
  <c r="P136" i="3"/>
  <c r="W136" i="3" s="1"/>
  <c r="P83" i="3"/>
  <c r="W83" i="3" s="1"/>
  <c r="P78" i="3"/>
  <c r="W78" i="3" s="1"/>
  <c r="P100" i="3"/>
  <c r="W100" i="3" s="1"/>
  <c r="P88" i="3"/>
  <c r="W88" i="3" s="1"/>
  <c r="P112" i="3"/>
  <c r="W112" i="3" s="1"/>
  <c r="P82" i="3"/>
  <c r="W82" i="3" s="1"/>
  <c r="P94" i="3"/>
  <c r="W94" i="3" s="1"/>
  <c r="P118" i="3"/>
  <c r="W118" i="3" s="1"/>
  <c r="P162" i="3"/>
  <c r="W162" i="3" s="1"/>
  <c r="P149" i="3"/>
  <c r="W149" i="3" s="1"/>
  <c r="P124" i="3"/>
  <c r="W124" i="3" s="1"/>
  <c r="P148" i="3"/>
  <c r="W148" i="3" s="1"/>
  <c r="P60" i="3"/>
  <c r="W60" i="3" s="1"/>
  <c r="J99" i="13" s="1"/>
  <c r="P59" i="3"/>
  <c r="W59" i="3" s="1"/>
  <c r="P58" i="3"/>
  <c r="W58" i="3" s="1"/>
  <c r="P105" i="3"/>
  <c r="W105" i="3" s="1"/>
  <c r="P36" i="3"/>
  <c r="W36" i="3" s="1"/>
  <c r="P21" i="3"/>
  <c r="W21" i="3" s="1"/>
  <c r="P47" i="3"/>
  <c r="W47" i="3" s="1"/>
  <c r="P10" i="3"/>
  <c r="W10" i="3" s="1"/>
  <c r="P15" i="3"/>
  <c r="W15" i="3" s="1"/>
  <c r="P43" i="3"/>
  <c r="W43" i="3" s="1"/>
  <c r="P42" i="3"/>
  <c r="W42" i="3" s="1"/>
  <c r="P73" i="3"/>
  <c r="W73" i="3" s="1"/>
  <c r="P16" i="3"/>
  <c r="W16" i="3" s="1"/>
  <c r="P111" i="3"/>
  <c r="W111" i="3" s="1"/>
  <c r="P51" i="3"/>
  <c r="W51" i="3" s="1"/>
  <c r="P81" i="3"/>
  <c r="W81" i="3" s="1"/>
  <c r="P24" i="3"/>
  <c r="W24" i="3" s="1"/>
  <c r="P39" i="3"/>
  <c r="W39" i="3" s="1"/>
  <c r="P54" i="3"/>
  <c r="W54" i="3" s="1"/>
  <c r="P117" i="3"/>
  <c r="W117" i="3" s="1"/>
  <c r="P159" i="3"/>
  <c r="W159" i="3" s="1"/>
  <c r="P35" i="3"/>
  <c r="W35" i="3" s="1"/>
  <c r="P34" i="3"/>
  <c r="W34" i="3" s="1"/>
  <c r="P57" i="3"/>
  <c r="W57" i="3" s="1"/>
  <c r="P55" i="3"/>
  <c r="W55" i="3" s="1"/>
  <c r="P28" i="3"/>
  <c r="W28" i="3" s="1"/>
  <c r="P23" i="3"/>
  <c r="W23" i="3" s="1"/>
  <c r="P46" i="3"/>
  <c r="W46" i="3" s="1"/>
  <c r="P93" i="3"/>
  <c r="W93" i="3" s="1"/>
  <c r="P141" i="3"/>
  <c r="W141" i="3" s="1"/>
  <c r="P27" i="3"/>
  <c r="W27" i="3" s="1"/>
  <c r="P49" i="3"/>
  <c r="W49" i="3" s="1"/>
  <c r="P72" i="3"/>
  <c r="W72" i="3" s="1"/>
  <c r="P69" i="3"/>
  <c r="W69" i="3" s="1"/>
  <c r="P18" i="3"/>
  <c r="W18" i="3" s="1"/>
  <c r="P87" i="3"/>
  <c r="W87" i="3" s="1"/>
  <c r="P30" i="3"/>
  <c r="W30" i="3" s="1"/>
  <c r="P53" i="3"/>
  <c r="W53" i="3" s="1"/>
  <c r="P123" i="3"/>
  <c r="W123" i="3" s="1"/>
  <c r="P153" i="3"/>
  <c r="W153" i="3" s="1"/>
  <c r="P33" i="3"/>
  <c r="W33" i="3" s="1"/>
  <c r="P48" i="3"/>
  <c r="W48" i="3" s="1"/>
  <c r="P70" i="3"/>
  <c r="W70" i="3" s="1"/>
  <c r="P147" i="3"/>
  <c r="W147" i="3" s="1"/>
  <c r="P41" i="3"/>
  <c r="W41" i="3" s="1"/>
  <c r="P71" i="3"/>
  <c r="W71" i="3" s="1"/>
  <c r="P22" i="3"/>
  <c r="W22" i="3" s="1"/>
  <c r="P45" i="3"/>
  <c r="W45" i="3" s="1"/>
  <c r="P52" i="3"/>
  <c r="W52" i="3" s="1"/>
  <c r="P99" i="3"/>
  <c r="W99" i="3" s="1"/>
  <c r="P129" i="3"/>
  <c r="W129" i="3" s="1"/>
  <c r="P17" i="3"/>
  <c r="W17" i="3" s="1"/>
  <c r="P40" i="3"/>
  <c r="W40" i="3" s="1"/>
  <c r="P63" i="3"/>
  <c r="W63" i="3" s="1"/>
  <c r="P135" i="3"/>
  <c r="W135" i="3" s="1"/>
  <c r="P29" i="3"/>
  <c r="W29" i="3" s="1"/>
  <c r="P75" i="3"/>
  <c r="W75" i="3" s="1"/>
  <c r="K33" i="17" l="1"/>
  <c r="B34" i="17"/>
  <c r="B57" i="17"/>
  <c r="K39" i="17"/>
  <c r="B47" i="17"/>
  <c r="B45" i="17"/>
  <c r="B48" i="17"/>
  <c r="B35" i="17"/>
  <c r="B36" i="17"/>
  <c r="K41" i="17"/>
  <c r="K53" i="17"/>
  <c r="J29" i="13"/>
  <c r="J18" i="13"/>
  <c r="J27" i="13"/>
  <c r="J57" i="13"/>
  <c r="J45" i="13"/>
  <c r="J66" i="13"/>
  <c r="J114" i="13"/>
  <c r="J56" i="13"/>
  <c r="J58" i="13"/>
  <c r="J69" i="13"/>
  <c r="J104" i="13"/>
  <c r="J108" i="13"/>
  <c r="J102" i="13"/>
  <c r="J13" i="13"/>
  <c r="J55" i="13"/>
  <c r="J84" i="13"/>
  <c r="J90" i="13"/>
  <c r="J103" i="13"/>
  <c r="J86" i="13"/>
  <c r="J65" i="13"/>
  <c r="J52" i="13"/>
  <c r="J113" i="13"/>
  <c r="J25" i="13"/>
  <c r="J11" i="13"/>
  <c r="J121" i="13"/>
  <c r="J94" i="13"/>
  <c r="J40" i="13"/>
  <c r="J64" i="13"/>
  <c r="J76" i="13"/>
  <c r="J49" i="13"/>
  <c r="J115" i="13"/>
  <c r="J48" i="13"/>
  <c r="J60" i="13"/>
  <c r="J95" i="13"/>
  <c r="J46" i="13"/>
  <c r="J19" i="13"/>
  <c r="J15" i="13"/>
  <c r="J72" i="13"/>
  <c r="J79" i="13"/>
  <c r="J73" i="13"/>
  <c r="J24" i="13"/>
  <c r="J33" i="13"/>
  <c r="J8" i="13"/>
  <c r="J37" i="13"/>
  <c r="J26" i="13"/>
  <c r="J31" i="13"/>
  <c r="J77" i="13"/>
  <c r="J111" i="13"/>
  <c r="J9" i="13"/>
  <c r="J78" i="13"/>
  <c r="J67" i="13"/>
  <c r="J34" i="13"/>
  <c r="J98" i="13"/>
  <c r="J42" i="13"/>
  <c r="J61" i="13"/>
  <c r="J38" i="13"/>
  <c r="J44" i="13"/>
  <c r="J6" i="13"/>
  <c r="J16" i="13"/>
  <c r="J21" i="13"/>
  <c r="J70" i="13"/>
  <c r="J105" i="13"/>
  <c r="J83" i="13"/>
  <c r="J89" i="13"/>
  <c r="J36" i="13"/>
  <c r="J23" i="13"/>
  <c r="J92" i="13"/>
  <c r="J20" i="13"/>
  <c r="J110" i="13"/>
  <c r="J39" i="13"/>
  <c r="J62" i="13"/>
  <c r="J14" i="13"/>
  <c r="J71" i="13"/>
  <c r="J30" i="13"/>
  <c r="J91" i="13"/>
  <c r="J85" i="13"/>
  <c r="J75" i="13"/>
  <c r="J7" i="13"/>
  <c r="J82" i="13"/>
  <c r="J88" i="13"/>
  <c r="J119" i="13"/>
  <c r="J120" i="13"/>
  <c r="J43" i="13"/>
  <c r="J32" i="13"/>
  <c r="J51" i="13"/>
  <c r="J80" i="13"/>
  <c r="J10" i="13"/>
  <c r="J54" i="13"/>
  <c r="J96" i="13"/>
  <c r="J50" i="13"/>
  <c r="J116" i="13"/>
  <c r="J109" i="13"/>
  <c r="J97" i="13"/>
  <c r="J107" i="13"/>
  <c r="J101" i="13"/>
  <c r="J11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<sst xmlns="http://schemas.openxmlformats.org/spreadsheetml/2006/main" count="2193" uniqueCount="617">
  <si>
    <t>UMG-55201-103</t>
  </si>
  <si>
    <t>Bahasa  Inggris  </t>
  </si>
  <si>
    <t>INF-55201-101</t>
  </si>
  <si>
    <t>Matematika  Dasar I</t>
  </si>
  <si>
    <t>INF-55201-102</t>
  </si>
  <si>
    <t>Logika Informatika</t>
  </si>
  <si>
    <t>INF-55201-103</t>
  </si>
  <si>
    <t>Dasar  Pemrograman*</t>
  </si>
  <si>
    <t>INF-55201-104</t>
  </si>
  <si>
    <t>Pengantar Teknik Informatika</t>
  </si>
  <si>
    <t>UMG-55201-104</t>
  </si>
  <si>
    <t>Kewarganegaraan</t>
  </si>
  <si>
    <t>UMG-55201-105</t>
  </si>
  <si>
    <t>INF-55201-105</t>
  </si>
  <si>
    <t>Probabilitas  dan  Statistik  </t>
  </si>
  <si>
    <t>INF-55201-106</t>
  </si>
  <si>
    <t>Matematika  Dasar II</t>
  </si>
  <si>
    <t>INF-55201-107</t>
  </si>
  <si>
    <t>Organisasi  dan Arsitektur Komputer  </t>
  </si>
  <si>
    <t>INF-55201-108</t>
  </si>
  <si>
    <t>Dasar rekayasa perangkat lunak</t>
  </si>
  <si>
    <t>INF-55201-109</t>
  </si>
  <si>
    <t>Struktur  Data  dan Algoritma*</t>
  </si>
  <si>
    <t>INF-55201-201</t>
  </si>
  <si>
    <t>Perancangan Basis Data</t>
  </si>
  <si>
    <t>INF-55201-202</t>
  </si>
  <si>
    <t>Teori  Graf  </t>
  </si>
  <si>
    <t>INF-55201-203</t>
  </si>
  <si>
    <t>Matematika  Diskrit  </t>
  </si>
  <si>
    <t>INF-55201-204</t>
  </si>
  <si>
    <t>Metode  Numerik*</t>
  </si>
  <si>
    <t>INF-55201-205</t>
  </si>
  <si>
    <t>Jaringan  Komputer *</t>
  </si>
  <si>
    <t>INF-55201-206</t>
  </si>
  <si>
    <t>Strategi Algoritma*</t>
  </si>
  <si>
    <t>INF-55201-207</t>
  </si>
  <si>
    <t>Sistem Operasi*</t>
  </si>
  <si>
    <t>INF-55201-208</t>
  </si>
  <si>
    <t>Manajemen Basis Data*</t>
  </si>
  <si>
    <t>INF-55201-209</t>
  </si>
  <si>
    <t>Otomata</t>
  </si>
  <si>
    <t>INF-55201-210</t>
  </si>
  <si>
    <t>Sistem Paralel dan Terdistribusi</t>
  </si>
  <si>
    <t>INF-55201-211</t>
  </si>
  <si>
    <t>Pemrograman  Berorientasi  Objek * </t>
  </si>
  <si>
    <t>INF-55201-212</t>
  </si>
  <si>
    <t>Analisis  dan  Perancangan  Sistem  </t>
  </si>
  <si>
    <t>INF-55201-213</t>
  </si>
  <si>
    <t>Sistem Informasi</t>
  </si>
  <si>
    <t>INF-55201-214</t>
  </si>
  <si>
    <t>Sistem Pendukung Keputusan</t>
  </si>
  <si>
    <t>INF-55201-301</t>
  </si>
  <si>
    <t>Interaksi  Manusia  dan  Komputer  </t>
  </si>
  <si>
    <t>INF-55201-302</t>
  </si>
  <si>
    <t>Pemrograman  Web *</t>
  </si>
  <si>
    <t>INF-55201-303</t>
  </si>
  <si>
    <t>Pemrograman Jaringan *</t>
  </si>
  <si>
    <t>INF-55201-304</t>
  </si>
  <si>
    <t>Sistem Tertanam*</t>
  </si>
  <si>
    <t>INF-55201-305</t>
  </si>
  <si>
    <t>Kecerdasan Buatan</t>
  </si>
  <si>
    <t>INF-55201-306</t>
  </si>
  <si>
    <t>Manajemen  Proyek  Perangkat  Lunak</t>
  </si>
  <si>
    <t>INF-55201-310</t>
  </si>
  <si>
    <t>Penulisan Proposal  Tugas  Akhir  </t>
  </si>
  <si>
    <t>INF-55201-311</t>
  </si>
  <si>
    <t>Riset Operasi</t>
  </si>
  <si>
    <t xml:space="preserve"> INF-55201-307</t>
  </si>
  <si>
    <t xml:space="preserve">Teori Komputer Grafis </t>
  </si>
  <si>
    <t xml:space="preserve"> INF-55201-308</t>
  </si>
  <si>
    <t>Kerja  Praktik  </t>
  </si>
  <si>
    <t xml:space="preserve"> INF-55201-309</t>
  </si>
  <si>
    <t>Keamanan  Informasi  dan  Jaringan*</t>
  </si>
  <si>
    <t xml:space="preserve"> INF-55201-312</t>
  </si>
  <si>
    <t>Sosio dan Etika Profesi</t>
  </si>
  <si>
    <t xml:space="preserve"> INF-55201-313</t>
  </si>
  <si>
    <t>MK Pilihan Wajib Komputasi (PBA)</t>
  </si>
  <si>
    <t xml:space="preserve"> INF-55201-314</t>
  </si>
  <si>
    <t xml:space="preserve"> INF-55201-315</t>
  </si>
  <si>
    <t>MK Pilihan Wajib Multimedia &amp; SIG (SIG)</t>
  </si>
  <si>
    <t xml:space="preserve"> INF-55201-316</t>
  </si>
  <si>
    <t>Proyek Perangkat  Lunak*</t>
  </si>
  <si>
    <t>SMT</t>
  </si>
  <si>
    <t>SKS</t>
  </si>
  <si>
    <t>Kode MK</t>
  </si>
  <si>
    <t>Nama MK</t>
  </si>
  <si>
    <t>INF-55201-401</t>
  </si>
  <si>
    <t>Teknopreneur*</t>
  </si>
  <si>
    <t>INF-55201-402</t>
  </si>
  <si>
    <t>PMKM</t>
  </si>
  <si>
    <t>INF-55201-406</t>
  </si>
  <si>
    <t>TA 1 (Proposal)</t>
  </si>
  <si>
    <t>INF-55201-407</t>
  </si>
  <si>
    <t xml:space="preserve">TA 2 </t>
  </si>
  <si>
    <t>KELAS</t>
  </si>
  <si>
    <t>Jumlah Kelas</t>
  </si>
  <si>
    <t>Nama Kelas</t>
  </si>
  <si>
    <t>A</t>
  </si>
  <si>
    <t>B</t>
  </si>
  <si>
    <t>C</t>
  </si>
  <si>
    <t>D</t>
  </si>
  <si>
    <t>E</t>
  </si>
  <si>
    <t>NO</t>
  </si>
  <si>
    <t>NAMA DOSEN</t>
  </si>
  <si>
    <t>KODE</t>
  </si>
  <si>
    <t>None</t>
  </si>
  <si>
    <t>-</t>
  </si>
  <si>
    <t>Anggi Perwitasari, S.T., M.T.</t>
  </si>
  <si>
    <t>AP</t>
  </si>
  <si>
    <t>Anggi Srimurdianti, S.T., M.T.</t>
  </si>
  <si>
    <t>AS</t>
  </si>
  <si>
    <t>Dr. Arif BPN, S.T., M.T.</t>
  </si>
  <si>
    <t>ABP</t>
  </si>
  <si>
    <t>Dr. Herry Sujaini, S.T., M.T.</t>
  </si>
  <si>
    <t>HS</t>
  </si>
  <si>
    <t>Dr. Yus Sholva, S.T., M.T.</t>
  </si>
  <si>
    <t>YS</t>
  </si>
  <si>
    <t>Rina Septiriana, S.T., M.Cs.</t>
  </si>
  <si>
    <t>RS</t>
  </si>
  <si>
    <t>Enda Esyudha Pratama, S.T., M.T.</t>
  </si>
  <si>
    <t>EE</t>
  </si>
  <si>
    <t>Eva Faja Ripanti, S.Kom, MMSI, Ph.D</t>
  </si>
  <si>
    <t>EFR</t>
  </si>
  <si>
    <t>H. Hengky Anra, S.T., M.Kom</t>
  </si>
  <si>
    <t>HA</t>
  </si>
  <si>
    <t>Hafiz Muhardi, S.T., M.Kom</t>
  </si>
  <si>
    <t>HM</t>
  </si>
  <si>
    <t>HN</t>
  </si>
  <si>
    <t>Helen Sastypratiwi, S.T., M.Eng</t>
  </si>
  <si>
    <t>HSP</t>
  </si>
  <si>
    <t>Helfi Nasution, S.Kom, M.Cs</t>
  </si>
  <si>
    <t>HLN</t>
  </si>
  <si>
    <t>Heri Priyanto,S.T., M.T.</t>
  </si>
  <si>
    <t>HP</t>
  </si>
  <si>
    <t>M.Azhar Irwansyah, S.T.,M.Eng.</t>
  </si>
  <si>
    <t>AI</t>
  </si>
  <si>
    <t>MKU</t>
  </si>
  <si>
    <t>Morteza Muthahhari, S.Kom., M.T.I</t>
  </si>
  <si>
    <t>TZ</t>
  </si>
  <si>
    <t>Novi Safriadi, S.T., M.T.</t>
  </si>
  <si>
    <t>NS</t>
  </si>
  <si>
    <t>Rudy Dwi Nyoto, S.T., M.Eng</t>
  </si>
  <si>
    <t>RDN</t>
  </si>
  <si>
    <t>Tursina ST, M.Cs</t>
  </si>
  <si>
    <t>TR</t>
  </si>
  <si>
    <t>Yulianti,S.Kom, MMSI</t>
  </si>
  <si>
    <t>YL</t>
  </si>
  <si>
    <t>NAMA MATAKULIAH</t>
  </si>
  <si>
    <t>Nama Matakuliah</t>
  </si>
  <si>
    <t>Kode Matakuliah</t>
  </si>
  <si>
    <t>Kelas</t>
  </si>
  <si>
    <t>Kode Dosen 1</t>
  </si>
  <si>
    <t>Kode Dosen 2</t>
  </si>
  <si>
    <t>Nama Dosen Pengajar</t>
  </si>
  <si>
    <t xml:space="preserve">Kode Dosen Pengajar </t>
  </si>
  <si>
    <t>Dosen Pengajar 1</t>
  </si>
  <si>
    <t>Dosen Pengajar 2 (Tandem)</t>
  </si>
  <si>
    <t>Nama Mata Kuliah</t>
  </si>
  <si>
    <t>Status Kelas</t>
  </si>
  <si>
    <t>Kelas sudah tersedia di jadwal</t>
  </si>
  <si>
    <t>Kelas tidak tersedia di jadwal</t>
  </si>
  <si>
    <t>Rekomendasi Jumlah Kelas</t>
  </si>
  <si>
    <t>SKS per Dosen</t>
  </si>
  <si>
    <t>NAMA PENGAJAR</t>
  </si>
  <si>
    <t>KODE DOSEN</t>
  </si>
  <si>
    <t>RUANG</t>
  </si>
  <si>
    <t>Kode Jadwal</t>
  </si>
  <si>
    <t>A$</t>
  </si>
  <si>
    <t>,'</t>
  </si>
  <si>
    <t>,"")</t>
  </si>
  <si>
    <t>IF(OR</t>
  </si>
  <si>
    <t>OK</t>
  </si>
  <si>
    <t>Kode Jadwal Tersedia</t>
  </si>
  <si>
    <t>ONLINE</t>
  </si>
  <si>
    <t>PILIH KODE AJAR</t>
  </si>
  <si>
    <t>Sem</t>
  </si>
  <si>
    <t>No</t>
  </si>
  <si>
    <t>Nama Dosen</t>
  </si>
  <si>
    <t>Kode Dosen</t>
  </si>
  <si>
    <t>Beban Ajar</t>
  </si>
  <si>
    <t>Pilih Tahun Ajaran</t>
  </si>
  <si>
    <t>2020/2021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</si>
  <si>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</si>
  <si>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</si>
  <si>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</si>
  <si>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</si>
  <si>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</si>
  <si>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</si>
  <si>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</si>
  <si>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</si>
  <si>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</si>
  <si>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</si>
  <si>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</si>
  <si>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</si>
  <si>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</si>
  <si>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</si>
  <si>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</si>
  <si>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</si>
  <si>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</si>
  <si>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</si>
  <si>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</si>
  <si>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</si>
  <si>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</si>
  <si>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</si>
  <si>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</si>
  <si>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</si>
  <si>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</si>
  <si>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Mata Kuliah Prasyarat</t>
  </si>
  <si>
    <t>Keterangan</t>
  </si>
  <si>
    <t>Tahun Ajaran</t>
  </si>
  <si>
    <t>Gasal</t>
  </si>
  <si>
    <t>Mata Kuliah Prasayarat</t>
  </si>
  <si>
    <t>Genap</t>
  </si>
  <si>
    <t>INF­55201­501</t>
  </si>
  <si>
    <t xml:space="preserve">Pemrograman  Berbasis  Kerangka  Kerja  </t>
  </si>
  <si>
    <t>INF­55201­502</t>
  </si>
  <si>
    <t xml:space="preserve">Rekayasa  Kebutuhan  </t>
  </si>
  <si>
    <t>INF­55201­503</t>
  </si>
  <si>
    <t xml:space="preserve">Verifikasi  dan  Validasi  Perangkat  Lunak  </t>
  </si>
  <si>
    <t>INF­55201­504</t>
  </si>
  <si>
    <t xml:space="preserve">Teknik  Pengembangan  Game  </t>
  </si>
  <si>
    <t>INF­55201­505</t>
  </si>
  <si>
    <t xml:space="preserve">Sistem  Enterprise  </t>
  </si>
  <si>
    <t>INF­55201­506</t>
  </si>
  <si>
    <t xml:space="preserve">Pengolahan  Citra  Digital  </t>
  </si>
  <si>
    <t>INF­55201­507</t>
  </si>
  <si>
    <t xml:space="preserve">Pemrograman  Linier  </t>
  </si>
  <si>
    <t>INF­55201­508</t>
  </si>
  <si>
    <t xml:space="preserve">Teknologi  Antar  Jaringan  </t>
  </si>
  <si>
    <t>INF­55201­509</t>
  </si>
  <si>
    <t xml:space="preserve">Jaringan  Nirkabel  </t>
  </si>
  <si>
    <t>INF­55201­510</t>
  </si>
  <si>
    <t xml:space="preserve">Perancangan  Keamanan  Sistem  dan  Jaringan  </t>
  </si>
  <si>
    <t>INF­55201­511</t>
  </si>
  <si>
    <t xml:space="preserve">Sistem  Terdistribusi  </t>
  </si>
  <si>
    <t>INF­55201­512</t>
  </si>
  <si>
    <t xml:space="preserve">Evolusi  Perangkat  Lunak  </t>
  </si>
  <si>
    <t>INF­55201­513</t>
  </si>
  <si>
    <t xml:space="preserve">Rekayasa  Pengetahuan  </t>
  </si>
  <si>
    <t>INF­55201­514</t>
  </si>
  <si>
    <t xml:space="preserve">Sistem  Game  </t>
  </si>
  <si>
    <t>INF­55201­515</t>
  </si>
  <si>
    <t xml:space="preserve">Pemrograman  Perangkat  Bergerak  </t>
  </si>
  <si>
    <t>INF­55201­516</t>
  </si>
  <si>
    <t xml:space="preserve">Audit  Sistem  </t>
  </si>
  <si>
    <t>INF­55201­517</t>
  </si>
  <si>
    <t xml:space="preserve">Data  Mining  </t>
  </si>
  <si>
    <t>INF­55201­518</t>
  </si>
  <si>
    <t xml:space="preserve">Visi  Komputer  </t>
  </si>
  <si>
    <t>INF­55201­519</t>
  </si>
  <si>
    <t>Jaringan Komputer Lanjut</t>
  </si>
  <si>
    <t>INF­55201­520</t>
  </si>
  <si>
    <t xml:space="preserve">Sistem  Temu  Kembali  Informasi  </t>
  </si>
  <si>
    <t>INF­55201­521</t>
  </si>
  <si>
    <t xml:space="preserve">Pemodelan  dan  Simulasi  </t>
  </si>
  <si>
    <t>INF­55201­522</t>
  </si>
  <si>
    <t xml:space="preserve">Animasi  Komputer  dan  Pemodelan  3D  </t>
  </si>
  <si>
    <t>INF­55201­523</t>
  </si>
  <si>
    <t xml:space="preserve">Komputasi  Awan  </t>
  </si>
  <si>
    <t>INF­55201­524</t>
  </si>
  <si>
    <t xml:space="preserve">Komputasi  Bergerak  </t>
  </si>
  <si>
    <t>INF­55201­525</t>
  </si>
  <si>
    <t xml:space="preserve">Komputasi  Grid  dan  Paralel  </t>
  </si>
  <si>
    <t>INF­55201­526</t>
  </si>
  <si>
    <t xml:space="preserve">Komputasi  Pervasive  dan  Jaringan  Sensor  </t>
  </si>
  <si>
    <t>INF­55201­527</t>
  </si>
  <si>
    <t xml:space="preserve">Teknik  Kompresi  </t>
  </si>
  <si>
    <t>INF­55201­528</t>
  </si>
  <si>
    <t xml:space="preserve">Robotika  </t>
  </si>
  <si>
    <t>INF­55201­529</t>
  </si>
  <si>
    <t xml:space="preserve">Virtual  &amp;  Augmented  Reality  </t>
  </si>
  <si>
    <t>INF­55201­530</t>
  </si>
  <si>
    <t>INF­55201­531</t>
  </si>
  <si>
    <t xml:space="preserve">Forensik  Digital  </t>
  </si>
  <si>
    <t>INF­55201­532</t>
  </si>
  <si>
    <t xml:space="preserve">Topik  Khusus  dalam  Komputasi  Jaringan  </t>
  </si>
  <si>
    <t>INF­55201­533</t>
  </si>
  <si>
    <t>Sistem  Informasi  Geografis II</t>
  </si>
  <si>
    <t>INF­55201­534</t>
  </si>
  <si>
    <t xml:space="preserve">Arsitektur  Perangkat  Lunak  </t>
  </si>
  <si>
    <t>INF­55201­535</t>
  </si>
  <si>
    <t xml:space="preserve">Simulasi  dan  Game  Komputer  </t>
  </si>
  <si>
    <t>INF­55201­536</t>
  </si>
  <si>
    <t>Pemrosesan Bahasa Alami</t>
  </si>
  <si>
    <t>INF­55201­537</t>
  </si>
  <si>
    <t xml:space="preserve">CAI </t>
  </si>
  <si>
    <t>INF­55201­538</t>
  </si>
  <si>
    <t>Logika Fuzzy</t>
  </si>
  <si>
    <t>INF­55201­539</t>
  </si>
  <si>
    <t>Fisika Model</t>
  </si>
  <si>
    <t>INF­55201­540</t>
  </si>
  <si>
    <t>Kriptografi</t>
  </si>
  <si>
    <t>INF­55201­541</t>
  </si>
  <si>
    <t>Basis Data Multimedia</t>
  </si>
  <si>
    <t>INF­55201­542</t>
  </si>
  <si>
    <t>Penalaran Berbasis Kasus</t>
  </si>
  <si>
    <t>INF­55201­543</t>
  </si>
  <si>
    <t>Jaringan Saraf Tiruan</t>
  </si>
  <si>
    <t>INF­55201­544</t>
  </si>
  <si>
    <t>Jaringan Multimedia</t>
  </si>
  <si>
    <t>Pilihan</t>
  </si>
  <si>
    <t>Design Pattern</t>
  </si>
  <si>
    <t>Pemrograman Jaringan * SEM-5 SKS-3 C HP</t>
  </si>
  <si>
    <t>Dasar  Pemrograman* SEM-1 SKS-4 C TZ</t>
  </si>
  <si>
    <t>Dasar  Pemrograman* SEM-1 SKS-4 B HS</t>
  </si>
  <si>
    <t>Matematika  Dasar I SEM-1 SKS-3 B RS</t>
  </si>
  <si>
    <t>Forensik  Digital   SEM-7 SKS-3 A NS</t>
  </si>
  <si>
    <t>Forensik  Digital   SEM-7 SKS-3 B NS</t>
  </si>
  <si>
    <t>Pemrograman Jaringan * SEM-5 SKS-3 A HP</t>
  </si>
  <si>
    <t>Teknopreneur* SEM-7 SKS-3 A RDN</t>
  </si>
  <si>
    <t>Komputasi  Awan   SEM-7 SKS-3 A AS</t>
  </si>
  <si>
    <t>Metode  Numerik* SEM-3 SKS-3 C HSP</t>
  </si>
  <si>
    <t>Bahasa  Inggris   SEM-1 SKS-2 A MKU</t>
  </si>
  <si>
    <t>Bahasa  Inggris   SEM-1 SKS-2 B MKU</t>
  </si>
  <si>
    <t>Bahasa  Inggris   SEM-1 SKS-2 C MKU</t>
  </si>
  <si>
    <t>Metode  Numerik* SEM-3 SKS-3 A HSP</t>
  </si>
  <si>
    <t>Metode  Numerik* SEM-3 SKS-3 B HSP</t>
  </si>
  <si>
    <t>Strategi Algoritma* SEM-3 SKS-4 C TZ</t>
  </si>
  <si>
    <t>Pemrograman Jaringan * SEM-5 SKS-3 B HP</t>
  </si>
  <si>
    <t>Sistem Tertanam* SEM-5 SKS-3 C HM</t>
  </si>
  <si>
    <t>Dasar  Pemrograman* SEM-1 SKS-4 A ABP</t>
  </si>
  <si>
    <t>Strategi Algoritma* SEM-3 SKS-4 A ABP</t>
  </si>
  <si>
    <t>Sistem Tertanam* SEM-5 SKS-3 A HM</t>
  </si>
  <si>
    <t>Jaringan  Komputer * SEM-3 SKS-4 SA A AI/HN</t>
  </si>
  <si>
    <t>Penulisan Proposal  Tugas  Akhir   SEM-5 SKS-2 A EFR</t>
  </si>
  <si>
    <t>SENIN</t>
  </si>
  <si>
    <t>SELASA</t>
  </si>
  <si>
    <t>RABU</t>
  </si>
  <si>
    <t>KAMIS</t>
  </si>
  <si>
    <t>JUMAT</t>
  </si>
  <si>
    <t>F</t>
  </si>
  <si>
    <t>=IF(J$13&gt;='Jumlah Kelas'!A$3,'Mata Kuliah'!A$3,"")</t>
  </si>
  <si>
    <t>IF(J$</t>
  </si>
  <si>
    <t>Mata Kuliah'!H$</t>
  </si>
  <si>
    <t>Alfian Abdul Jalid, S.Kom., M.Cs.</t>
  </si>
  <si>
    <t>Desepta Isna Ulumi, S.Kom, M.Kom.</t>
  </si>
  <si>
    <t>Fauzan Asrin, S.Kom, M. Kom.</t>
  </si>
  <si>
    <t>Khairul Hafidh, S.T., M.Kom.</t>
  </si>
  <si>
    <t>Niken Candraningrum, S.T., M.Cs.</t>
  </si>
  <si>
    <t>DIU</t>
  </si>
  <si>
    <t>FA</t>
  </si>
  <si>
    <t>KH</t>
  </si>
  <si>
    <t>NC</t>
  </si>
  <si>
    <t>26</t>
  </si>
  <si>
    <t>27</t>
  </si>
  <si>
    <t>UMG-55201-101</t>
  </si>
  <si>
    <t>Pendidikan Pancasila</t>
  </si>
  <si>
    <t>Pendidikan Agama</t>
  </si>
  <si>
    <t>Matematika  Dasar I SEM-1 SKS-3 SA A AS/NC</t>
  </si>
  <si>
    <t>Sistem  Informasi  Geografis II SEM-7 SKS-3 SB B YS/AI</t>
  </si>
  <si>
    <t>Manajemen  Proyek  Perangkat  Lunak SEM-5 SKS-2 SA A AP/DIU</t>
  </si>
  <si>
    <t>Logika Informatika SEM-1 SKS-3 SA A TR/NC</t>
  </si>
  <si>
    <t>Matematika  Diskrit   SEM-3 SKS-3 SC C YL/KH</t>
  </si>
  <si>
    <t>Matematika  Dasar I SEM-1 SKS-3 SC C AS/NC</t>
  </si>
  <si>
    <t>Jaringan  Komputer * SEM-3 SKS-4 SC C AI/HN</t>
  </si>
  <si>
    <t>Pendidikan Pancasila SEM-1 SKS-2 A MKU</t>
  </si>
  <si>
    <t>Matematika  Diskrit   SEM-3 SKS-3 SA A YL/KH</t>
  </si>
  <si>
    <t>Kecerdasan Buatan SEM-5 SKS-3 SB B TR/RS</t>
  </si>
  <si>
    <t>Kecerdasan Buatan SEM-5 SKS-3 SD D TR/RS</t>
  </si>
  <si>
    <t>Pendidikan Agama SEM-1 SKS-3 B MKU</t>
  </si>
  <si>
    <t>Pendidikan Agama SEM-1 SKS-3 A MKU</t>
  </si>
  <si>
    <t>Pendidikan Pancasila SEM-1 SKS-2 B MKU</t>
  </si>
  <si>
    <t>Pengantar Teknik Informatika SEM-1 SKS-2 B HA</t>
  </si>
  <si>
    <t>Kecerdasan Buatan SEM-5 SKS-3 SC C TR/RS</t>
  </si>
  <si>
    <t>Pendidikan Pancasila SEM-1 SKS-2 C MKU</t>
  </si>
  <si>
    <t>Sistem  Informasi  Geografis II SEM-7 SKS-3 SA A YS/AI</t>
  </si>
  <si>
    <t>Pemrograman  Web * SEM-5 SKS-4 SA A EE/FA</t>
  </si>
  <si>
    <t>Teknopreneur* SEM-7 SKS-3 C RDN</t>
  </si>
  <si>
    <t>Pemrograman  Web * SEM-5 SKS-4 SC C EE/FA</t>
  </si>
  <si>
    <t>Sistem Operasi* SEM-3 SKS-3 B NS</t>
  </si>
  <si>
    <t>Pemrograman  Web * SEM-5 SKS-4 SB B EE/FA</t>
  </si>
  <si>
    <t>Manajemen  Proyek  Perangkat  Lunak SEM-5 SKS-2 SC C AP/DIU</t>
  </si>
  <si>
    <t>Riset Operasi SEM-5 SKS-2 SC C EFR/KH</t>
  </si>
  <si>
    <t>Riset Operasi SEM-5 SKS-2 SA A EFR/KH</t>
  </si>
  <si>
    <t>Penulisan Proposal  Tugas  Akhir   SEM-5 SKS-2 D YS</t>
  </si>
  <si>
    <t>Kapasitas</t>
  </si>
  <si>
    <t>Kecerdasan Buatan SEM-5 SKS-3 SA A YS/KH</t>
  </si>
  <si>
    <t>Matematika  Dasar I SEM-1 SKS-3 SD D RS/NC</t>
  </si>
  <si>
    <t>Pendidikan Agama SEM-1 SKS-3 C MKU</t>
  </si>
  <si>
    <t>Penulisan Proposal  Tugas  Akhir   SEM-5 SKS-2 C EFR</t>
  </si>
  <si>
    <t>Perancangan Basis Data SEM-3 SKS-2 SA A YL/DIU</t>
  </si>
  <si>
    <t>Manajemen  Proyek  Perangkat  Lunak SEM-5 SKS-2 SB B AP/DIU</t>
  </si>
  <si>
    <t>Komputasi  Awan   SEM-7 SKS-3 B AS</t>
  </si>
  <si>
    <t>Interaksi  Manusia  dan  Komputer   SEM-5 SKS-2 A AP</t>
  </si>
  <si>
    <t>Pengantar Teknik Informatika SEM-1 SKS-2 A HA</t>
  </si>
  <si>
    <t>Interaksi  Manusia  dan  Komputer   SEM-5 SKS-2 C AP</t>
  </si>
  <si>
    <t>Interaksi  Manusia  dan  Komputer   SEM-5 SKS-2 B HA</t>
  </si>
  <si>
    <t>Teknopreneur* SEM-7 SKS-3 B RDN</t>
  </si>
  <si>
    <t>Logika Informatika SEM-1 SKS-3 SB B TR/NC</t>
  </si>
  <si>
    <t>Pengantar Teknik Informatika SEM-1 SKS-2 C HA</t>
  </si>
  <si>
    <t>Perancangan Basis Data SEM-3 SKS-2 SC C YL/DIU</t>
  </si>
  <si>
    <t>Manajemen  Proyek  Perangkat  Lunak SEM-5 SKS-2 SD D AP/DIU</t>
  </si>
  <si>
    <t>Penulisan Proposal  Tugas  Akhir   SEM-5 SKS-2 B YS</t>
  </si>
  <si>
    <t>Logika Informatika SEM-1 SKS-3 SC C TR/NC</t>
  </si>
  <si>
    <t></t>
  </si>
  <si>
    <t>Teknopreneur* SEM-7 SKS-3 D EE</t>
  </si>
  <si>
    <t>Haried Novriando, S.Kom, M.Eng</t>
  </si>
  <si>
    <t>AAJ</t>
  </si>
  <si>
    <t>Sistem Operasi* SEM-3 SKS-3 A HLN</t>
  </si>
  <si>
    <t>Teori  Graf   SEM-3 SKS-2 SA A HN/AAJ</t>
  </si>
  <si>
    <t>Kriptografi SEM-7 SKS-3 SA A HLN/AAJ</t>
  </si>
  <si>
    <t>Sistem Tertanam* SEM-5 SKS-3 SD D HM/AAJ</t>
  </si>
  <si>
    <t>Teori  Graf   SEM-3 SKS-2 SC C HN/AAJ</t>
  </si>
  <si>
    <t>Kriptografi SEM-7 SKS-3 SB B HLN/AAJ</t>
  </si>
  <si>
    <t>Sistem Tertanam* SEM-5 SKS-3 SB B HM/AAJ</t>
  </si>
  <si>
    <t>Strategi Algoritma* SEM-3 SKS-4 SB B TZ/FA</t>
  </si>
  <si>
    <t>Matematika  Diskrit   SEM-3 SKS-3 B YL</t>
  </si>
  <si>
    <t>Sistem Operasi* SEM-3 SKS-3 SC C HLN/DIU</t>
  </si>
  <si>
    <t>Jaringan  Komputer * SEM-3 SKS-4 SB B AI/AAJ</t>
  </si>
  <si>
    <t>Sistem Operasi* SEM-3 SKS-3 SD D HLN/DIU</t>
  </si>
  <si>
    <t>Perancangan Basis Data SEM-3 SKS-2 B HN</t>
  </si>
  <si>
    <t>Teori  Graf   SEM-3 SKS-2 SB B HN/KH</t>
  </si>
  <si>
    <t>DOSEN 1</t>
  </si>
  <si>
    <t>DOSEN 2</t>
  </si>
  <si>
    <t>KAP</t>
  </si>
  <si>
    <t>SMTR</t>
  </si>
  <si>
    <t>KODE MK</t>
  </si>
  <si>
    <t>JADWAL KULIAH</t>
  </si>
  <si>
    <t>HARI</t>
  </si>
  <si>
    <t>PROGRAM STUDI INFORMATIKA</t>
  </si>
  <si>
    <t>2022 - 2023</t>
  </si>
  <si>
    <t>Riset Operasi SEM-5 SKS-2 SB B EFR/KH</t>
  </si>
  <si>
    <t>Tentukan Jumlah Kelas</t>
  </si>
  <si>
    <t>Tentukan Nama Mata Kuliah</t>
  </si>
  <si>
    <t>Pilih Semester</t>
  </si>
  <si>
    <t>Jumlah Kelas di Jadwal</t>
  </si>
  <si>
    <t>Kap</t>
  </si>
  <si>
    <t>Jumlah Kelas di JADWAL LEBIH/KURANG</t>
  </si>
  <si>
    <t>Jumlah SKS</t>
  </si>
  <si>
    <t>INF-55201-506</t>
  </si>
  <si>
    <t>Pengolahan Citra Digital (PL)</t>
  </si>
  <si>
    <t>INF-55201-515</t>
  </si>
  <si>
    <t>Pemrograman Perangkat Bergerak (PL)</t>
  </si>
  <si>
    <t>INF-55201-516</t>
  </si>
  <si>
    <t>Data Mining (PL)</t>
  </si>
  <si>
    <t>INF-55201-523</t>
  </si>
  <si>
    <t>Komputas Awan (PL)</t>
  </si>
  <si>
    <t>INF-55201-532</t>
  </si>
  <si>
    <t>SIG II (PL)</t>
  </si>
  <si>
    <t>INF-55201-535</t>
  </si>
  <si>
    <t>Instruksional Berbantuan Komputer /CAI (PL)</t>
  </si>
  <si>
    <t>INF-55201-538</t>
  </si>
  <si>
    <t>Kriptografi (PL)</t>
  </si>
  <si>
    <t>INF-55201-539</t>
  </si>
  <si>
    <t>Basis Data Multimedia (PL)</t>
  </si>
  <si>
    <t>INF-55201-542</t>
  </si>
  <si>
    <t>Manajemen Rantai Pasok (PL)</t>
  </si>
  <si>
    <t>INF-55201-531</t>
  </si>
  <si>
    <t>Forensik Digital (PL</t>
  </si>
  <si>
    <t>Pemrograman Berbasis Kerangka Kerja</t>
  </si>
  <si>
    <t>Rekayasa Kebutuhan</t>
  </si>
  <si>
    <t>Verifikasi dan Validasi Perangkat Lunak</t>
  </si>
  <si>
    <t>Teknik Pengembangan Game</t>
  </si>
  <si>
    <t>Sistem Enterprise</t>
  </si>
  <si>
    <t>Pemrograman Linier</t>
  </si>
  <si>
    <t>Teknologi Antar Jaringan</t>
  </si>
  <si>
    <t>Jaringan Nirkabel</t>
  </si>
  <si>
    <t>Perancangan Keamanan Sistem dan Jaringan</t>
  </si>
  <si>
    <t>Sistem Terdistribusi</t>
  </si>
  <si>
    <t>Evolusi Perangkat Lunak</t>
  </si>
  <si>
    <t>Rekayasa Pengetahuan</t>
  </si>
  <si>
    <t>Sistem Game</t>
  </si>
  <si>
    <t>Visi Komputer</t>
  </si>
  <si>
    <t>Sistem Temu Kembali Informasi</t>
  </si>
  <si>
    <t>Pemodelan dan Simulasi</t>
  </si>
  <si>
    <t>Animasi Komputer dan Pemodelan 3D</t>
  </si>
  <si>
    <t>Komputasi Bergerak</t>
  </si>
  <si>
    <t>Komputasi Grid dan Paralel</t>
  </si>
  <si>
    <t>Komputasi Pervasive dan Jaringan Sensor</t>
  </si>
  <si>
    <t>Teknik Kompresi</t>
  </si>
  <si>
    <t>Robotika</t>
  </si>
  <si>
    <t>Virtual &amp; Augmented Reality</t>
  </si>
  <si>
    <t>Sistem Informasi Geografis II</t>
  </si>
  <si>
    <t>Arsitektur Perangkat Lunak</t>
  </si>
  <si>
    <t>Simulasi dan Game Komputer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</si>
  <si>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</si>
  <si>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</si>
  <si>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</si>
  <si>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</si>
  <si>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</si>
  <si>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</si>
  <si>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</si>
  <si>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</si>
  <si>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</si>
  <si>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</si>
  <si>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</si>
  <si>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</si>
  <si>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</si>
  <si>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</si>
  <si>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</si>
  <si>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Teori  Graf   SEM-3 SKS-2 D HN</t>
  </si>
  <si>
    <t>IF(</t>
  </si>
  <si>
    <t>&gt;='TABLE SISTEM'!A$3,'TABLE MK'!I$</t>
  </si>
  <si>
    <t>&gt;='TABLE SISTEM'!A$4,'TABLE MK'!I$</t>
  </si>
  <si>
    <t>&gt;='TABLE SISTEM'!A$5,'TABLE MK'!I$</t>
  </si>
  <si>
    <t>&gt;='TABLE SISTEM'!A$6,'TABLE MK'!I$</t>
  </si>
  <si>
    <t>&gt;='TABLE SISTEM'!A$7,'TABLE MK'!I$</t>
  </si>
  <si>
    <t>J$</t>
  </si>
  <si>
    <t>=</t>
  </si>
  <si>
    <t>,)))</t>
  </si>
  <si>
    <t>"","",(VLOOKUP(D</t>
  </si>
  <si>
    <t>,Table6[[#All],[Kode MK]:[Mata Kuliah Prasayarat]],</t>
  </si>
  <si>
    <t>Jum Kelas Praktikum</t>
  </si>
  <si>
    <t>Cek kelas Praktikum</t>
  </si>
  <si>
    <t>Jum Kelas Tandem</t>
  </si>
  <si>
    <t>Cek Kelas Tandem</t>
  </si>
  <si>
    <t>Probabilitas  dan  Statistik   SEM-2 SKS-3 A HSP</t>
  </si>
  <si>
    <t>Probabilitas  dan  Statistik   SEM-2 SKS-3 SB B YL/RS</t>
  </si>
  <si>
    <t>Matematika  Dasar II SEM-2 SKS-3 SA A AS/RS</t>
  </si>
  <si>
    <t>Matematika  Dasar II SEM-2 SKS-3 SC C AS/RS</t>
  </si>
  <si>
    <t>Dasar rekayasa perangkat lunak SEM-2 SKS-3 SD D AP/DIU</t>
  </si>
  <si>
    <t>Organisasi  dan Arsitektur Komputer   SEM-2 SKS-3 SA A TZ/AAJ</t>
  </si>
  <si>
    <t>Dasar rekayasa perangkat lunak SEM-2 SKS-3 SB B AP/DIU</t>
  </si>
  <si>
    <t>Organisasi  dan Arsitektur Komputer   SEM-2 SKS-3 SC C TZ/AAJ</t>
  </si>
  <si>
    <t>Struktur  Data  dan Algoritma* SEM-2 SKS-4 SA A TZ/FA</t>
  </si>
  <si>
    <t>Organisasi  dan Arsitektur Komputer   SEM-2 SKS-3 SB B EE/AAJ</t>
  </si>
  <si>
    <t>Sistem Paralel dan Terdistribusi SEM-4 SKS-3 D HLN</t>
  </si>
  <si>
    <t>Dasar rekayasa perangkat lunak SEM-2 SKS-3 SA A YS/DIU</t>
  </si>
  <si>
    <t>Sistem Paralel dan Terdistribusi SEM-4 SKS-3 C HLN</t>
  </si>
  <si>
    <t>Sistem Pendukung Keputusan SEM-4 SKS-3 D TR</t>
  </si>
  <si>
    <t>Kewarganegaraan SEM-2 SKS-2 D MKU</t>
  </si>
  <si>
    <t>Sistem Paralel dan Terdistribusi SEM-4 SKS-3 B HLN</t>
  </si>
  <si>
    <t>Keamanan  Informasi  dan  Jaringan* SEM-6 SKS-3 SA A AI/AAJ</t>
  </si>
  <si>
    <t>Kewarganegaraan SEM-2 SKS-2 B MKU</t>
  </si>
  <si>
    <t>Bahasa Indonesia</t>
  </si>
  <si>
    <t>UMG-55201-102</t>
  </si>
  <si>
    <t>Bahasa Indonesia SEM-2 SKS-2 A MKU</t>
  </si>
  <si>
    <t>Bahasa Indonesia SEM-2 SKS-2 B MKU</t>
  </si>
  <si>
    <t>Bahasa Indonesia SEM-2 SKS-2 C MKU</t>
  </si>
  <si>
    <t>Struktur  Data  dan Algoritma* SEM-2 SKS-4 SB B TZ/FA</t>
  </si>
  <si>
    <t>Kewarganegaraan SEM-2 SKS-2 C MKU</t>
  </si>
  <si>
    <t>Kewarganegaraan SEM-2 SKS-2 A MKU</t>
  </si>
  <si>
    <t>Bahasa Indonesia SEM-2 SKS-2 D MKU</t>
  </si>
  <si>
    <t>Matematika  Dasar II SEM-2 SKS-3 SD D AS/RS</t>
  </si>
  <si>
    <t>MK Pilihan Wajib  Jaringan (Jaringan  Nirkabel  ) SEM-6 SKS-3 D HP</t>
  </si>
  <si>
    <t>SEM</t>
  </si>
  <si>
    <t>Mulai</t>
  </si>
  <si>
    <t>Selesai</t>
  </si>
  <si>
    <t>MK</t>
  </si>
  <si>
    <t>Dosen</t>
  </si>
  <si>
    <t>Mata Kuliah</t>
  </si>
  <si>
    <t>MK Pilihan Wajib  Jaringan (Jaringan  Nirkabel  )</t>
  </si>
  <si>
    <t xml:space="preserve">SEM </t>
  </si>
  <si>
    <t>TOTAL SKS</t>
  </si>
  <si>
    <t>PROGRAM JADWAL GENAP'!F$7:T$130</t>
  </si>
  <si>
    <t>Dasar rekayasa perangkat lunak SEM-2 SKS-3 SC C AP/DIU</t>
  </si>
  <si>
    <t>Dasar rekayasa perangkat lunak SEM-2 SKS-3 SB B YS/DIU</t>
  </si>
  <si>
    <t>Struktur  Data  dan Algoritma* SEM-2 SKS-4 SC C TZ/FA</t>
  </si>
  <si>
    <t>MK Pilihan Wajib  Jaringan (Jaringan  Nirkabel  ) SEM-6 SKS-3 B HP</t>
  </si>
  <si>
    <t>Sistem Pendukung Keputusan SEM-4 SKS-3 B TR</t>
  </si>
  <si>
    <t>Sistem Paralel dan Terdistribusi SEM-4 SKS-3 A HLN</t>
  </si>
  <si>
    <t>MK Pilihan Wajib Komputasi (PBA) SEM-6 SKS-3 SB B HS/ABP</t>
  </si>
  <si>
    <t>MK Pilihan Wajib Komputasi (PBA) SEM-6 SKS-3 SC C ABP/HS</t>
  </si>
  <si>
    <t>MK Pilihan Wajib Komputasi (PBA) SEM-6 SKS-3 SA A HS/ABP</t>
  </si>
  <si>
    <t>MK Pilihan Wajib Komputasi (PBA) SEM-6 SKS-3 SD D ABP/HS</t>
  </si>
  <si>
    <t>Proyek Perangkat  Lunak* SEM-6 SKS-4 SB B AP/DIU</t>
  </si>
  <si>
    <t>Matematika  Dasar II SEM-2 SKS-3 SB B RS/AS</t>
  </si>
  <si>
    <t>Matematika  Dasar II SEM-2 SKS-3 SD D RS/AS</t>
  </si>
  <si>
    <t>Prof. Dr. Eng. Ir. Rudi Kurnianto, S.T., M.T., IPM.</t>
  </si>
  <si>
    <t>RK</t>
  </si>
  <si>
    <t>Prof. Dr. -Ing. Seno D. Panjaitan, S.T., M.T., IPM.</t>
  </si>
  <si>
    <t>SP</t>
  </si>
  <si>
    <t>MK Pilihan Wajib  Jaringan (Jaringan  Nirkabel  ) SEM-6 SKS-3 SA A HP/RK</t>
  </si>
  <si>
    <t>Sistem Pendukung Keputusan SEM-4 SKS-3 SA A TR/SP</t>
  </si>
  <si>
    <t>Manajemen Basis Data* SEM-4 SKS-4 SC C HSP/HN</t>
  </si>
  <si>
    <t>Manajemen Basis Data* SEM-4 SKS-4 SA A HSP/HN</t>
  </si>
  <si>
    <t>Otomata SEM-4 SKS-2 SD D NS/KH</t>
  </si>
  <si>
    <t>Sistem Informasi SEM-4 SKS-2 SD D EFR/YL</t>
  </si>
  <si>
    <t>Sistem Informasi SEM-4 SKS-2 SC C YL/EFR</t>
  </si>
  <si>
    <t>Otomata SEM-4 SKS-2 SB B NS/KH</t>
  </si>
  <si>
    <t>Manajemen Basis Data* SEM-4 SKS-4 SB B HN/HSP</t>
  </si>
  <si>
    <t>Sistem Informasi SEM-4 SKS-2 SB B EFR/YL</t>
  </si>
  <si>
    <t>Sistem Informasi SEM-4 SKS-2 SA A YL/EFR</t>
  </si>
  <si>
    <t>Senin</t>
  </si>
  <si>
    <t>Selasa</t>
  </si>
  <si>
    <t>Rabu</t>
  </si>
  <si>
    <t>Kamis</t>
  </si>
  <si>
    <t>Jumat</t>
  </si>
  <si>
    <t>Probabilitas  dan  Statistik   SEM-2 SKS-3 SB B YL/NC</t>
  </si>
  <si>
    <t>Analisis  dan  Perancangan  Sistem   SEM-4 SKS-3 SC C EFR/NC</t>
  </si>
  <si>
    <t>Probabilitas  dan  Statistik   SEM-2 SKS-3 SC C HSP/RS</t>
  </si>
  <si>
    <t>Probabilitas  dan  Statistik   SEM-2 SKS-3 SD D YL/NC</t>
  </si>
  <si>
    <t>Analisis  dan  Perancangan  Sistem   SEM-4 SKS-3 SA A EFR/NC</t>
  </si>
  <si>
    <t>Proyek Perangkat  Lunak* SEM-6 SKS-4 SA A AP/DIU</t>
  </si>
  <si>
    <t>Probabilitas  dan  Statistik   SEM-2 SKS-3 SA A HSP/RS</t>
  </si>
  <si>
    <t>Keamanan  Informasi  dan  Jaringan* SEM-6 SKS-3 SD D HN/AAJ</t>
  </si>
  <si>
    <t>Sosio dan Etika Profesi SEM-6 SKS-2 A HM</t>
  </si>
  <si>
    <t>Teori Komputer Grafis  SEM-6 SKS-2 B HA</t>
  </si>
  <si>
    <t>Sosio dan Etika Profesi SEM-6 SKS-2 B HM</t>
  </si>
  <si>
    <t>Sosio dan Etika Profesi SEM-6 SKS-2 C HM</t>
  </si>
  <si>
    <t>Teori Komputer Grafis  SEM-6 SKS-2 C HA</t>
  </si>
  <si>
    <t>Teori Komputer Grafis  SEM-6 SKS-2 A HA</t>
  </si>
  <si>
    <t>Sosio dan Etika Profesi SEM-6 SKS-2 D HM</t>
  </si>
  <si>
    <t>Teori Komputer Grafis  SEM-6 SKS-2 D HA</t>
  </si>
  <si>
    <t>Analisis  dan  Perancangan  Sistem   SEM-4 SKS-3 SD D AS/FA</t>
  </si>
  <si>
    <t>Analisis  dan  Perancangan  Sistem   SEM-4 SKS-3 SB B AS/FA</t>
  </si>
  <si>
    <t>Data  Mining   SEM-6 SKS-3 SC C EE/NC</t>
  </si>
  <si>
    <t>Data  Mining   SEM-6 SKS-3 SA A EE/NC</t>
  </si>
  <si>
    <t>Data  Mining   SEM-6 SKS-3 B EE</t>
  </si>
  <si>
    <t>MK Pilihan Wajib  Jaringan (Jaringan  Nirkabel  ) SEM-6 SKS-3 C HP</t>
  </si>
  <si>
    <t>Sistem Pendukung Keputusan SEM-4 SKS-3 C TR</t>
  </si>
  <si>
    <t>FAKULTAS TEKNIK</t>
  </si>
  <si>
    <t>UNIVERSITAS TANJUNGPURA</t>
  </si>
  <si>
    <t>Organisasi  dan Arsitektur Komputer   SEM-2 SKS-3 SD D EE/KH</t>
  </si>
  <si>
    <t>MK Pilihan Wajib Multimedia &amp; SIG (SIG) SEM-6 SKS-3 SD D AI/YS</t>
  </si>
  <si>
    <t>Pemrograman  Berorientasi  Objek *  SEM-4 SKS-4 A RDN</t>
  </si>
  <si>
    <t>MK Pilihan Wajib Multimedia &amp; SIG (SIG) SEM-6 SKS-3 SA A YS/AI</t>
  </si>
  <si>
    <t>Keamanan  Informasi  dan  Jaringan* SEM-6 SKS-3 SC C AI/AAJ</t>
  </si>
  <si>
    <t>Proyek Perangkat  Lunak* SEM-6 SKS-4 C NS</t>
  </si>
  <si>
    <t>MK Pilihan Wajib Multimedia &amp; SIG (SIG) SEM-6 SKS-3 SC C YS/AI</t>
  </si>
  <si>
    <t>Organisasi  dan Arsitektur Komputer   SEM-2 SKS-3 SB B EE/KH</t>
  </si>
  <si>
    <t>MK Pilihan Wajib Multimedia &amp; SIG (SIG) SEM-6 SKS-3 SB B AI/YS</t>
  </si>
  <si>
    <t>Otomata SEM-4 SKS-2 SA A NS/KH</t>
  </si>
  <si>
    <t>Otomata SEM-4 SKS-2 SC C NS/KH</t>
  </si>
  <si>
    <t>Keamanan  Informasi  dan  Jaringan* SEM-6 SKS-3 SB B HN/AAJ</t>
  </si>
  <si>
    <t>Pemrograman  Berorientasi  Objek *  SEM-4 SKS-4 B RDN</t>
  </si>
  <si>
    <t>Pemrograman  Berorientasi  Objek *  SEM-4 SKS-4 SC C NS/KH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</si>
</sst>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h:mm;@"/>
  </numFmts>
  <fonts count="5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Bahnschrift Light"/>
      <family val="2"/>
    </font>
    <font>
      <sz val="12"/>
      <color theme="1"/>
      <name val="Bahnschrift Light"/>
      <family val="2"/>
    </font>
    <font>
      <b/>
      <sz val="14"/>
      <color theme="0"/>
      <name val="Bahnschrift Light"/>
      <family val="2"/>
    </font>
    <font>
      <b/>
      <sz val="13"/>
      <color theme="0"/>
      <name val="Bahnschrift Light"/>
      <family val="2"/>
    </font>
    <font>
      <b/>
      <sz val="13"/>
      <color rgb="FFEEFCF6"/>
      <name val="Bahnschrift Light"/>
      <family val="2"/>
    </font>
    <font>
      <b/>
      <sz val="13"/>
      <color theme="1"/>
      <name val="Calibri"/>
      <family val="2"/>
      <scheme val="minor"/>
    </font>
    <font>
      <sz val="13"/>
      <color theme="1"/>
      <name val="Bahnschrift Light"/>
      <family val="2"/>
    </font>
    <font>
      <sz val="13"/>
      <color theme="1"/>
      <name val="Calibri"/>
      <family val="2"/>
      <scheme val="minor"/>
    </font>
    <font>
      <b/>
      <sz val="13"/>
      <color rgb="FFEEFCF6"/>
      <name val="Calibri"/>
      <family val="2"/>
      <scheme val="minor"/>
    </font>
    <font>
      <b/>
      <sz val="14"/>
      <color theme="1"/>
      <name val="Bahnschrift Light"/>
      <family val="2"/>
    </font>
    <font>
      <sz val="13"/>
      <name val="Bahnschrift Light"/>
      <family val="2"/>
    </font>
    <font>
      <sz val="8"/>
      <name val="Calibri"/>
      <family val="2"/>
      <scheme val="minor"/>
    </font>
    <font>
      <sz val="12"/>
      <name val="Tahoma"/>
      <family val="2"/>
    </font>
    <font>
      <b/>
      <sz val="12"/>
      <color rgb="FFEEFCF6"/>
      <name val="Bahnschrift Light"/>
      <family val="2"/>
    </font>
    <font>
      <sz val="9"/>
      <color theme="0"/>
      <name val="Bahnschrift Light"/>
      <family val="2"/>
    </font>
    <font>
      <b/>
      <sz val="11"/>
      <color theme="1" tint="4.9989318521683403E-2"/>
      <name val="Bahnschrift Light"/>
      <family val="2"/>
    </font>
    <font>
      <sz val="10.5"/>
      <color theme="0"/>
      <name val="Bahnschrift Light"/>
      <family val="2"/>
    </font>
    <font>
      <b/>
      <sz val="12"/>
      <color theme="0" tint="-4.9989318521683403E-2"/>
      <name val="Tahoma"/>
      <family val="2"/>
    </font>
    <font>
      <sz val="14"/>
      <color theme="1"/>
      <name val="Bahnschrift Light"/>
      <family val="2"/>
    </font>
    <font>
      <b/>
      <sz val="16"/>
      <color theme="1"/>
      <name val="Bahnschrift Light"/>
      <family val="2"/>
    </font>
    <font>
      <sz val="10"/>
      <color rgb="FF000000"/>
      <name val="Bahnschrift Light"/>
      <family val="2"/>
    </font>
    <font>
      <sz val="10"/>
      <color theme="1"/>
      <name val="Bahnschrift Light"/>
      <family val="2"/>
    </font>
    <font>
      <b/>
      <sz val="10"/>
      <color theme="0"/>
      <name val="Bahnschrift Light"/>
      <family val="2"/>
    </font>
    <font>
      <b/>
      <sz val="11"/>
      <color theme="0"/>
      <name val="Bahnschrift Light"/>
      <family val="2"/>
    </font>
    <font>
      <sz val="10"/>
      <color theme="0"/>
      <name val="Bahnschrift Light"/>
      <family val="2"/>
    </font>
    <font>
      <sz val="11"/>
      <color theme="0"/>
      <name val="Bahnschrift Light"/>
      <family val="2"/>
    </font>
    <font>
      <sz val="25"/>
      <name val="Bahnschrift Light"/>
      <family val="2"/>
    </font>
    <font>
      <b/>
      <sz val="25"/>
      <name val="Bahnschrift Light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8"/>
      <color theme="0"/>
      <name val="Wingdings 3"/>
      <family val="1"/>
      <charset val="2"/>
    </font>
    <font>
      <sz val="18"/>
      <name val="Wingdings 3"/>
      <family val="1"/>
      <charset val="2"/>
    </font>
    <font>
      <b/>
      <sz val="26"/>
      <color theme="0"/>
      <name val="Bahnschrift Light"/>
      <family val="2"/>
    </font>
    <font>
      <b/>
      <sz val="26"/>
      <name val="Bahnschrift Light"/>
      <family val="2"/>
    </font>
    <font>
      <b/>
      <sz val="12"/>
      <name val="Times New Roman"/>
      <family val="1"/>
    </font>
    <font>
      <sz val="14"/>
      <name val="Times New Roman"/>
      <family val="1"/>
    </font>
    <font>
      <b/>
      <sz val="26"/>
      <name val="Times New Roman"/>
      <family val="1"/>
    </font>
    <font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Bahnschrift Light"/>
      <family val="2"/>
    </font>
    <font>
      <b/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3332"/>
      <name val="Tahoma"/>
      <family val="2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EEFCF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66"/>
        <bgColor theme="1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33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  <bgColor theme="5"/>
      </patternFill>
    </fill>
    <fill>
      <patternFill patternType="solid">
        <fgColor rgb="FF92D050"/>
        <bgColor indexed="64"/>
      </patternFill>
    </fill>
    <fill>
      <patternFill patternType="solid">
        <fgColor rgb="FFEE9A1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3332"/>
        <bgColor theme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6699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4"/>
      </top>
      <bottom style="thin">
        <color theme="9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/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4" fillId="0" borderId="0"/>
  </cellStyleXfs>
  <cellXfs count="283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4" fillId="3" borderId="0" xfId="0" applyFont="1" applyFill="1" applyAlignment="1">
      <alignment wrapText="1"/>
    </xf>
    <xf numFmtId="0" fontId="10" fillId="5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 vertical="center" wrapText="1"/>
    </xf>
    <xf numFmtId="0" fontId="14" fillId="5" borderId="0" xfId="0" applyFont="1" applyFill="1" applyAlignment="1">
      <alignment vertical="center" wrapText="1"/>
    </xf>
    <xf numFmtId="0" fontId="14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6" fontId="0" fillId="0" borderId="0" xfId="0" applyNumberFormat="1"/>
    <xf numFmtId="0" fontId="0" fillId="0" borderId="0" xfId="0" quotePrefix="1"/>
    <xf numFmtId="0" fontId="14" fillId="7" borderId="6" xfId="0" applyFont="1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13" fillId="3" borderId="0" xfId="0" applyFont="1" applyFill="1" applyAlignment="1">
      <alignment wrapText="1"/>
    </xf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wrapText="1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9" fillId="2" borderId="0" xfId="0" applyFont="1" applyFill="1"/>
    <xf numFmtId="0" fontId="20" fillId="2" borderId="0" xfId="0" applyFont="1" applyFill="1" applyAlignment="1">
      <alignment horizontal="center"/>
    </xf>
    <xf numFmtId="0" fontId="20" fillId="2" borderId="0" xfId="0" applyFont="1" applyFill="1"/>
    <xf numFmtId="0" fontId="0" fillId="2" borderId="0" xfId="0" applyFill="1" applyAlignment="1">
      <alignment wrapText="1"/>
    </xf>
    <xf numFmtId="0" fontId="10" fillId="5" borderId="7" xfId="0" applyFont="1" applyFill="1" applyBorder="1" applyAlignment="1">
      <alignment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vertical="center" wrapText="1"/>
    </xf>
    <xf numFmtId="0" fontId="14" fillId="7" borderId="8" xfId="0" applyFont="1" applyFill="1" applyBorder="1" applyAlignment="1">
      <alignment vertical="center" wrapText="1"/>
    </xf>
    <xf numFmtId="0" fontId="14" fillId="4" borderId="11" xfId="0" applyFont="1" applyFill="1" applyBorder="1" applyAlignment="1">
      <alignment vertical="center" wrapText="1"/>
    </xf>
    <xf numFmtId="0" fontId="0" fillId="9" borderId="0" xfId="0" applyFill="1"/>
    <xf numFmtId="0" fontId="0" fillId="10" borderId="0" xfId="0" applyFill="1"/>
    <xf numFmtId="0" fontId="13" fillId="8" borderId="0" xfId="0" applyFont="1" applyFill="1"/>
    <xf numFmtId="0" fontId="4" fillId="8" borderId="0" xfId="0" applyFont="1" applyFill="1" applyAlignment="1">
      <alignment wrapText="1"/>
    </xf>
    <xf numFmtId="0" fontId="21" fillId="6" borderId="0" xfId="0" applyFont="1" applyFill="1" applyAlignment="1">
      <alignment horizontal="center" vertical="center" wrapText="1"/>
    </xf>
    <xf numFmtId="20" fontId="16" fillId="3" borderId="0" xfId="0" applyNumberFormat="1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/>
    </xf>
    <xf numFmtId="0" fontId="22" fillId="3" borderId="0" xfId="0" applyFont="1" applyFill="1"/>
    <xf numFmtId="0" fontId="23" fillId="3" borderId="0" xfId="0" applyFont="1" applyFill="1"/>
    <xf numFmtId="0" fontId="4" fillId="2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6" fillId="2" borderId="0" xfId="0" applyFont="1" applyFill="1" applyAlignment="1">
      <alignment horizontal="center" vertical="center" wrapText="1"/>
    </xf>
    <xf numFmtId="0" fontId="9" fillId="4" borderId="13" xfId="0" applyFont="1" applyFill="1" applyBorder="1" applyAlignment="1">
      <alignment horizontal="center" wrapText="1"/>
    </xf>
    <xf numFmtId="0" fontId="12" fillId="5" borderId="14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17" fillId="4" borderId="18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wrapText="1"/>
    </xf>
    <xf numFmtId="0" fontId="5" fillId="5" borderId="20" xfId="0" applyFont="1" applyFill="1" applyBorder="1" applyAlignment="1">
      <alignment horizontal="center" wrapText="1"/>
    </xf>
    <xf numFmtId="0" fontId="0" fillId="3" borderId="11" xfId="0" applyFill="1" applyBorder="1"/>
    <xf numFmtId="0" fontId="14" fillId="7" borderId="21" xfId="0" applyFont="1" applyFill="1" applyBorder="1" applyAlignment="1">
      <alignment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20" fillId="2" borderId="0" xfId="0" quotePrefix="1" applyFont="1" applyFill="1" applyAlignment="1">
      <alignment horizontal="center"/>
    </xf>
    <xf numFmtId="0" fontId="4" fillId="0" borderId="0" xfId="0" applyFont="1"/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7" fillId="12" borderId="1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4" fillId="13" borderId="0" xfId="0" applyFont="1" applyFill="1" applyAlignment="1">
      <alignment vertical="center" wrapText="1"/>
    </xf>
    <xf numFmtId="0" fontId="24" fillId="13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vertical="center"/>
    </xf>
    <xf numFmtId="0" fontId="4" fillId="13" borderId="0" xfId="0" applyFont="1" applyFill="1" applyAlignment="1">
      <alignment horizontal="center" vertical="center"/>
    </xf>
    <xf numFmtId="0" fontId="24" fillId="14" borderId="0" xfId="0" applyFont="1" applyFill="1" applyAlignment="1">
      <alignment vertical="center" wrapText="1"/>
    </xf>
    <xf numFmtId="0" fontId="24" fillId="14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vertical="center"/>
    </xf>
    <xf numFmtId="0" fontId="4" fillId="14" borderId="0" xfId="0" applyFont="1" applyFill="1" applyAlignment="1">
      <alignment horizontal="center" vertical="center"/>
    </xf>
    <xf numFmtId="0" fontId="21" fillId="6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center" wrapText="1"/>
    </xf>
    <xf numFmtId="0" fontId="16" fillId="14" borderId="22" xfId="0" applyFont="1" applyFill="1" applyBorder="1" applyAlignment="1">
      <alignment horizontal="left" vertical="center" wrapText="1"/>
    </xf>
    <xf numFmtId="0" fontId="32" fillId="0" borderId="0" xfId="0" applyFont="1" applyAlignment="1">
      <alignment vertical="center"/>
    </xf>
    <xf numFmtId="0" fontId="32" fillId="0" borderId="2" xfId="0" applyFont="1" applyBorder="1" applyAlignment="1">
      <alignment vertical="center" wrapText="1"/>
    </xf>
    <xf numFmtId="0" fontId="32" fillId="0" borderId="2" xfId="0" applyFont="1" applyBorder="1"/>
    <xf numFmtId="0" fontId="2" fillId="0" borderId="2" xfId="0" quotePrefix="1" applyFont="1" applyBorder="1" applyAlignment="1">
      <alignment horizontal="center" vertical="center"/>
    </xf>
    <xf numFmtId="0" fontId="32" fillId="0" borderId="2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33" fillId="0" borderId="2" xfId="0" quotePrefix="1" applyFont="1" applyBorder="1" applyAlignment="1">
      <alignment horizontal="center"/>
    </xf>
    <xf numFmtId="0" fontId="5" fillId="5" borderId="0" xfId="0" applyFont="1" applyFill="1" applyAlignment="1">
      <alignment horizontal="center" wrapText="1"/>
    </xf>
    <xf numFmtId="0" fontId="14" fillId="7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4" fillId="0" borderId="23" xfId="1" applyFont="1" applyBorder="1" applyAlignment="1">
      <alignment vertical="center" wrapText="1"/>
    </xf>
    <xf numFmtId="0" fontId="27" fillId="2" borderId="0" xfId="0" applyFont="1" applyFill="1" applyAlignment="1">
      <alignment horizontal="center"/>
    </xf>
    <xf numFmtId="0" fontId="28" fillId="0" borderId="24" xfId="0" applyFont="1" applyBorder="1" applyAlignment="1">
      <alignment horizontal="center" vertical="center" wrapText="1"/>
    </xf>
    <xf numFmtId="0" fontId="35" fillId="14" borderId="0" xfId="0" quotePrefix="1" applyFont="1" applyFill="1" applyAlignment="1">
      <alignment horizontal="left" vertical="center" wrapText="1"/>
    </xf>
    <xf numFmtId="20" fontId="16" fillId="8" borderId="0" xfId="0" applyNumberFormat="1" applyFont="1" applyFill="1" applyAlignment="1">
      <alignment horizontal="center" vertical="center" wrapText="1"/>
    </xf>
    <xf numFmtId="0" fontId="16" fillId="8" borderId="22" xfId="0" applyFont="1" applyFill="1" applyBorder="1" applyAlignment="1">
      <alignment horizontal="left" vertical="center" wrapText="1"/>
    </xf>
    <xf numFmtId="0" fontId="35" fillId="8" borderId="0" xfId="0" quotePrefix="1" applyFont="1" applyFill="1" applyAlignment="1">
      <alignment horizontal="left" vertical="center" wrapText="1"/>
    </xf>
    <xf numFmtId="0" fontId="16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left" vertical="center" wrapText="1"/>
    </xf>
    <xf numFmtId="0" fontId="16" fillId="8" borderId="0" xfId="0" quotePrefix="1" applyFont="1" applyFill="1" applyAlignment="1">
      <alignment horizontal="center" vertical="center" textRotation="90" wrapText="1"/>
    </xf>
    <xf numFmtId="0" fontId="30" fillId="8" borderId="0" xfId="0" applyFont="1" applyFill="1" applyAlignment="1">
      <alignment horizontal="center" vertical="center" textRotation="90"/>
    </xf>
    <xf numFmtId="0" fontId="30" fillId="8" borderId="0" xfId="0" applyFont="1" applyFill="1" applyAlignment="1">
      <alignment vertical="center" textRotation="90"/>
    </xf>
    <xf numFmtId="0" fontId="36" fillId="14" borderId="0" xfId="0" quotePrefix="1" applyFont="1" applyFill="1" applyAlignment="1">
      <alignment horizontal="left" vertical="center" wrapText="1"/>
    </xf>
    <xf numFmtId="0" fontId="2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9" fillId="0" borderId="2" xfId="0" applyFont="1" applyBorder="1" applyAlignment="1">
      <alignment horizontal="center" vertical="center" wrapText="1"/>
    </xf>
    <xf numFmtId="0" fontId="41" fillId="0" borderId="2" xfId="0" quotePrefix="1" applyFont="1" applyBorder="1" applyAlignment="1">
      <alignment horizontal="center" vertical="center" textRotation="90" wrapText="1"/>
    </xf>
    <xf numFmtId="0" fontId="41" fillId="0" borderId="2" xfId="0" applyFont="1" applyBorder="1" applyAlignment="1">
      <alignment horizontal="center" vertical="center" textRotation="90"/>
    </xf>
    <xf numFmtId="0" fontId="41" fillId="0" borderId="25" xfId="0" applyFont="1" applyBorder="1" applyAlignment="1">
      <alignment horizontal="center" vertical="center" textRotation="90"/>
    </xf>
    <xf numFmtId="20" fontId="40" fillId="0" borderId="25" xfId="0" applyNumberFormat="1" applyFont="1" applyBorder="1" applyAlignment="1">
      <alignment horizontal="center" vertical="center" wrapText="1"/>
    </xf>
    <xf numFmtId="20" fontId="40" fillId="0" borderId="28" xfId="0" applyNumberFormat="1" applyFont="1" applyBorder="1" applyAlignment="1">
      <alignment horizontal="center" vertical="center" wrapText="1"/>
    </xf>
    <xf numFmtId="20" fontId="40" fillId="0" borderId="26" xfId="0" applyNumberFormat="1" applyFont="1" applyBorder="1" applyAlignment="1">
      <alignment horizontal="center" vertical="center" wrapText="1"/>
    </xf>
    <xf numFmtId="20" fontId="40" fillId="0" borderId="2" xfId="0" applyNumberFormat="1" applyFont="1" applyBorder="1" applyAlignment="1">
      <alignment horizontal="left" vertical="center" wrapText="1"/>
    </xf>
    <xf numFmtId="20" fontId="40" fillId="0" borderId="2" xfId="0" applyNumberFormat="1" applyFont="1" applyBorder="1" applyAlignment="1">
      <alignment vertical="center" wrapText="1"/>
    </xf>
    <xf numFmtId="20" fontId="40" fillId="0" borderId="2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20" fontId="40" fillId="0" borderId="29" xfId="0" applyNumberFormat="1" applyFont="1" applyBorder="1" applyAlignment="1">
      <alignment horizontal="center" vertical="center" wrapText="1"/>
    </xf>
    <xf numFmtId="20" fontId="40" fillId="0" borderId="31" xfId="0" applyNumberFormat="1" applyFont="1" applyBorder="1" applyAlignment="1">
      <alignment horizontal="center" vertical="center" wrapText="1"/>
    </xf>
    <xf numFmtId="20" fontId="40" fillId="0" borderId="32" xfId="0" applyNumberFormat="1" applyFont="1" applyBorder="1" applyAlignment="1">
      <alignment horizontal="center" vertical="center" wrapText="1"/>
    </xf>
    <xf numFmtId="20" fontId="40" fillId="0" borderId="33" xfId="0" applyNumberFormat="1" applyFont="1" applyBorder="1" applyAlignment="1">
      <alignment horizontal="center" vertical="center" wrapText="1"/>
    </xf>
    <xf numFmtId="20" fontId="40" fillId="0" borderId="0" xfId="0" applyNumberFormat="1" applyFont="1" applyAlignment="1">
      <alignment horizontal="center" vertical="center" wrapText="1"/>
    </xf>
    <xf numFmtId="20" fontId="40" fillId="0" borderId="34" xfId="0" applyNumberFormat="1" applyFont="1" applyBorder="1" applyAlignment="1">
      <alignment horizontal="center" vertical="center" wrapText="1"/>
    </xf>
    <xf numFmtId="20" fontId="40" fillId="0" borderId="26" xfId="0" applyNumberFormat="1" applyFont="1" applyBorder="1" applyAlignment="1">
      <alignment horizontal="left" vertical="center" wrapText="1"/>
    </xf>
    <xf numFmtId="20" fontId="40" fillId="0" borderId="35" xfId="0" applyNumberFormat="1" applyFont="1" applyBorder="1" applyAlignment="1">
      <alignment horizontal="center" vertical="center" wrapText="1"/>
    </xf>
    <xf numFmtId="20" fontId="40" fillId="0" borderId="27" xfId="0" applyNumberFormat="1" applyFont="1" applyBorder="1" applyAlignment="1">
      <alignment horizontal="center" vertical="center" wrapText="1"/>
    </xf>
    <xf numFmtId="20" fontId="40" fillId="0" borderId="36" xfId="0" applyNumberFormat="1" applyFont="1" applyBorder="1" applyAlignment="1">
      <alignment horizontal="center" vertical="center" wrapText="1"/>
    </xf>
    <xf numFmtId="20" fontId="40" fillId="0" borderId="5" xfId="0" applyNumberFormat="1" applyFont="1" applyBorder="1" applyAlignment="1">
      <alignment horizontal="left" vertical="center" wrapText="1"/>
    </xf>
    <xf numFmtId="20" fontId="40" fillId="0" borderId="30" xfId="0" applyNumberFormat="1" applyFont="1" applyBorder="1" applyAlignment="1">
      <alignment horizontal="left" vertical="center" wrapText="1"/>
    </xf>
    <xf numFmtId="0" fontId="42" fillId="0" borderId="28" xfId="0" applyFont="1" applyBorder="1"/>
    <xf numFmtId="0" fontId="42" fillId="0" borderId="28" xfId="0" applyFont="1" applyBorder="1" applyAlignment="1">
      <alignment horizontal="left"/>
    </xf>
    <xf numFmtId="0" fontId="42" fillId="0" borderId="28" xfId="0" applyFont="1" applyBorder="1" applyAlignment="1">
      <alignment vertical="center"/>
    </xf>
    <xf numFmtId="0" fontId="42" fillId="0" borderId="26" xfId="0" applyFont="1" applyBorder="1"/>
    <xf numFmtId="0" fontId="1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3" fillId="8" borderId="0" xfId="0" applyFont="1" applyFill="1"/>
    <xf numFmtId="0" fontId="44" fillId="15" borderId="0" xfId="0" applyFont="1" applyFill="1"/>
    <xf numFmtId="0" fontId="6" fillId="2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0" fontId="45" fillId="3" borderId="0" xfId="0" applyFont="1" applyFill="1"/>
    <xf numFmtId="0" fontId="46" fillId="5" borderId="1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wrapText="1"/>
    </xf>
    <xf numFmtId="0" fontId="47" fillId="3" borderId="0" xfId="0" applyFont="1" applyFill="1" applyAlignment="1">
      <alignment horizontal="center" wrapText="1"/>
    </xf>
    <xf numFmtId="0" fontId="0" fillId="0" borderId="37" xfId="0" applyBorder="1" applyAlignment="1">
      <alignment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7" xfId="0" applyBorder="1" applyAlignment="1">
      <alignment wrapText="1"/>
    </xf>
    <xf numFmtId="0" fontId="0" fillId="17" borderId="38" xfId="0" applyFill="1" applyBorder="1" applyAlignment="1">
      <alignment horizontal="center" wrapText="1"/>
    </xf>
    <xf numFmtId="0" fontId="0" fillId="17" borderId="38" xfId="0" applyFill="1" applyBorder="1" applyAlignment="1">
      <alignment wrapText="1"/>
    </xf>
    <xf numFmtId="0" fontId="0" fillId="0" borderId="38" xfId="0" applyBorder="1" applyAlignment="1">
      <alignment horizontal="center" wrapText="1"/>
    </xf>
    <xf numFmtId="0" fontId="0" fillId="0" borderId="38" xfId="0" applyBorder="1" applyAlignment="1">
      <alignment wrapText="1"/>
    </xf>
    <xf numFmtId="0" fontId="48" fillId="16" borderId="40" xfId="0" applyFont="1" applyFill="1" applyBorder="1" applyAlignment="1">
      <alignment horizontal="center" wrapText="1"/>
    </xf>
    <xf numFmtId="0" fontId="48" fillId="16" borderId="41" xfId="0" applyFont="1" applyFill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42" xfId="0" applyBorder="1" applyAlignment="1">
      <alignment wrapText="1"/>
    </xf>
    <xf numFmtId="0" fontId="0" fillId="17" borderId="37" xfId="0" applyFill="1" applyBorder="1" applyAlignment="1">
      <alignment horizontal="center" wrapText="1"/>
    </xf>
    <xf numFmtId="0" fontId="0" fillId="0" borderId="38" xfId="0" applyBorder="1" applyAlignment="1">
      <alignment vertical="center" wrapText="1"/>
    </xf>
    <xf numFmtId="0" fontId="0" fillId="0" borderId="37" xfId="0" applyBorder="1" applyAlignment="1">
      <alignment horizontal="center" wrapText="1"/>
    </xf>
    <xf numFmtId="0" fontId="0" fillId="17" borderId="37" xfId="0" applyFill="1" applyBorder="1" applyAlignment="1">
      <alignment wrapText="1"/>
    </xf>
    <xf numFmtId="0" fontId="0" fillId="0" borderId="39" xfId="0" quotePrefix="1" applyBorder="1" applyAlignment="1">
      <alignment horizontal="center" wrapText="1"/>
    </xf>
    <xf numFmtId="0" fontId="30" fillId="3" borderId="0" xfId="0" applyFont="1" applyFill="1" applyAlignment="1">
      <alignment horizontal="center" vertical="center" textRotation="90"/>
    </xf>
    <xf numFmtId="0" fontId="37" fillId="8" borderId="0" xfId="0" applyFont="1" applyFill="1" applyAlignment="1">
      <alignment horizontal="center"/>
    </xf>
    <xf numFmtId="20" fontId="40" fillId="7" borderId="25" xfId="0" applyNumberFormat="1" applyFont="1" applyFill="1" applyBorder="1" applyAlignment="1">
      <alignment horizontal="center" vertical="center" wrapText="1"/>
    </xf>
    <xf numFmtId="20" fontId="40" fillId="7" borderId="28" xfId="0" applyNumberFormat="1" applyFont="1" applyFill="1" applyBorder="1" applyAlignment="1">
      <alignment horizontal="center" vertical="center" wrapText="1"/>
    </xf>
    <xf numFmtId="20" fontId="40" fillId="7" borderId="26" xfId="0" applyNumberFormat="1" applyFont="1" applyFill="1" applyBorder="1" applyAlignment="1">
      <alignment horizontal="center" vertical="center" wrapText="1"/>
    </xf>
    <xf numFmtId="20" fontId="40" fillId="7" borderId="2" xfId="0" applyNumberFormat="1" applyFont="1" applyFill="1" applyBorder="1" applyAlignment="1">
      <alignment horizontal="left" vertical="center" wrapText="1"/>
    </xf>
    <xf numFmtId="20" fontId="40" fillId="7" borderId="2" xfId="0" applyNumberFormat="1" applyFont="1" applyFill="1" applyBorder="1" applyAlignment="1">
      <alignment vertical="center" wrapText="1"/>
    </xf>
    <xf numFmtId="20" fontId="40" fillId="7" borderId="2" xfId="0" applyNumberFormat="1" applyFont="1" applyFill="1" applyBorder="1" applyAlignment="1">
      <alignment horizontal="center" vertical="center" wrapText="1"/>
    </xf>
    <xf numFmtId="0" fontId="40" fillId="7" borderId="2" xfId="0" applyFont="1" applyFill="1" applyBorder="1" applyAlignment="1">
      <alignment horizontal="center" vertical="center" wrapText="1"/>
    </xf>
    <xf numFmtId="0" fontId="4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7" fillId="18" borderId="18" xfId="0" applyFont="1" applyFill="1" applyBorder="1" applyAlignment="1">
      <alignment horizontal="center" vertical="center" wrapText="1"/>
    </xf>
    <xf numFmtId="0" fontId="8" fillId="18" borderId="11" xfId="0" applyFont="1" applyFill="1" applyBorder="1" applyAlignment="1">
      <alignment vertical="center" wrapText="1"/>
    </xf>
    <xf numFmtId="0" fontId="8" fillId="18" borderId="11" xfId="0" applyFont="1" applyFill="1" applyBorder="1" applyAlignment="1">
      <alignment horizontal="center" vertical="center" wrapText="1"/>
    </xf>
    <xf numFmtId="0" fontId="7" fillId="18" borderId="11" xfId="0" applyFont="1" applyFill="1" applyBorder="1" applyAlignment="1">
      <alignment horizontal="center" vertical="center" wrapText="1"/>
    </xf>
    <xf numFmtId="0" fontId="7" fillId="18" borderId="11" xfId="0" applyFont="1" applyFill="1" applyBorder="1" applyAlignment="1">
      <alignment vertical="center" wrapText="1"/>
    </xf>
    <xf numFmtId="0" fontId="14" fillId="18" borderId="11" xfId="0" applyFont="1" applyFill="1" applyBorder="1" applyAlignment="1">
      <alignment vertical="center" wrapText="1"/>
    </xf>
    <xf numFmtId="0" fontId="12" fillId="18" borderId="13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 vertical="center" wrapText="1"/>
    </xf>
    <xf numFmtId="0" fontId="49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1" fillId="19" borderId="0" xfId="0" applyFont="1" applyFill="1" applyAlignment="1">
      <alignment horizontal="center" vertical="center" wrapText="1"/>
    </xf>
    <xf numFmtId="20" fontId="52" fillId="8" borderId="0" xfId="0" applyNumberFormat="1" applyFont="1" applyFill="1" applyAlignment="1">
      <alignment horizontal="center" vertical="center" wrapText="1"/>
    </xf>
    <xf numFmtId="0" fontId="50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50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/>
    </xf>
    <xf numFmtId="164" fontId="0" fillId="20" borderId="0" xfId="0" applyNumberFormat="1" applyFill="1" applyAlignment="1">
      <alignment horizontal="center" vertical="center" wrapText="1"/>
    </xf>
    <xf numFmtId="0" fontId="0" fillId="20" borderId="0" xfId="0" applyFill="1" applyAlignment="1">
      <alignment wrapText="1"/>
    </xf>
    <xf numFmtId="0" fontId="0" fillId="20" borderId="0" xfId="0" applyFill="1" applyAlignment="1">
      <alignment horizontal="center" vertical="center" wrapText="1"/>
    </xf>
    <xf numFmtId="164" fontId="0" fillId="20" borderId="0" xfId="0" applyNumberFormat="1" applyFill="1" applyAlignment="1">
      <alignment wrapText="1"/>
    </xf>
    <xf numFmtId="0" fontId="44" fillId="0" borderId="0" xfId="0" applyFont="1"/>
    <xf numFmtId="0" fontId="5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0" fillId="21" borderId="0" xfId="0" applyFill="1"/>
    <xf numFmtId="0" fontId="32" fillId="21" borderId="0" xfId="0" applyFont="1" applyFill="1" applyAlignment="1">
      <alignment vertical="center"/>
    </xf>
    <xf numFmtId="0" fontId="32" fillId="21" borderId="0" xfId="0" applyFont="1" applyFill="1" applyAlignment="1">
      <alignment horizontal="left" vertical="center"/>
    </xf>
    <xf numFmtId="0" fontId="32" fillId="21" borderId="0" xfId="0" applyFont="1" applyFill="1" applyAlignment="1">
      <alignment horizontal="center" vertical="center"/>
    </xf>
    <xf numFmtId="0" fontId="32" fillId="21" borderId="0" xfId="0" applyFont="1" applyFill="1" applyAlignment="1">
      <alignment horizontal="center" vertical="center" wrapText="1"/>
    </xf>
    <xf numFmtId="0" fontId="50" fillId="22" borderId="0" xfId="0" applyFont="1" applyFill="1" applyAlignment="1">
      <alignment horizontal="center" vertical="center"/>
    </xf>
    <xf numFmtId="0" fontId="50" fillId="21" borderId="0" xfId="0" applyFont="1" applyFill="1"/>
    <xf numFmtId="0" fontId="50" fillId="21" borderId="0" xfId="0" applyFont="1" applyFill="1" applyAlignment="1">
      <alignment horizontal="left"/>
    </xf>
    <xf numFmtId="0" fontId="51" fillId="0" borderId="0" xfId="0" applyFont="1" applyAlignment="1">
      <alignment horizontal="center" vertical="center"/>
    </xf>
    <xf numFmtId="0" fontId="54" fillId="0" borderId="0" xfId="0" applyFont="1"/>
    <xf numFmtId="20" fontId="40" fillId="5" borderId="2" xfId="0" applyNumberFormat="1" applyFont="1" applyFill="1" applyBorder="1" applyAlignment="1">
      <alignment horizontal="center" vertical="center" wrapText="1"/>
    </xf>
    <xf numFmtId="0" fontId="16" fillId="23" borderId="0" xfId="0" applyFont="1" applyFill="1" applyAlignment="1">
      <alignment horizontal="left" vertical="center" wrapText="1"/>
    </xf>
    <xf numFmtId="0" fontId="16" fillId="7" borderId="0" xfId="0" applyFont="1" applyFill="1" applyAlignment="1">
      <alignment horizontal="left" vertical="center" wrapText="1"/>
    </xf>
    <xf numFmtId="0" fontId="16" fillId="24" borderId="0" xfId="0" applyFont="1" applyFill="1" applyAlignment="1">
      <alignment horizontal="left" vertical="center" wrapText="1"/>
    </xf>
    <xf numFmtId="0" fontId="16" fillId="25" borderId="0" xfId="0" applyFont="1" applyFill="1" applyAlignment="1">
      <alignment horizontal="left" vertical="center" wrapText="1"/>
    </xf>
    <xf numFmtId="0" fontId="16" fillId="26" borderId="0" xfId="0" applyFont="1" applyFill="1" applyAlignment="1">
      <alignment horizontal="left" vertical="center" wrapText="1"/>
    </xf>
    <xf numFmtId="0" fontId="16" fillId="28" borderId="0" xfId="0" applyFont="1" applyFill="1" applyAlignment="1">
      <alignment horizontal="left" vertical="center" wrapText="1"/>
    </xf>
    <xf numFmtId="0" fontId="16" fillId="27" borderId="0" xfId="0" applyFont="1" applyFill="1" applyAlignment="1">
      <alignment horizontal="left" vertical="center" wrapText="1"/>
    </xf>
    <xf numFmtId="0" fontId="16" fillId="21" borderId="0" xfId="0" applyFont="1" applyFill="1" applyAlignment="1">
      <alignment horizontal="left" vertical="center" wrapText="1"/>
    </xf>
    <xf numFmtId="0" fontId="55" fillId="3" borderId="0" xfId="0" applyFont="1" applyFill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/>
    </xf>
    <xf numFmtId="0" fontId="27" fillId="2" borderId="0" xfId="0" applyFont="1" applyFill="1"/>
    <xf numFmtId="0" fontId="16" fillId="22" borderId="0" xfId="0" applyFont="1" applyFill="1" applyAlignment="1">
      <alignment horizontal="left" vertical="center" wrapText="1"/>
    </xf>
    <xf numFmtId="20" fontId="16" fillId="29" borderId="0" xfId="0" applyNumberFormat="1" applyFont="1" applyFill="1" applyAlignment="1">
      <alignment horizontal="center" vertical="center" wrapText="1"/>
    </xf>
    <xf numFmtId="0" fontId="16" fillId="29" borderId="22" xfId="0" applyFont="1" applyFill="1" applyBorder="1" applyAlignment="1">
      <alignment horizontal="left" vertical="center" wrapText="1"/>
    </xf>
    <xf numFmtId="0" fontId="35" fillId="29" borderId="0" xfId="0" quotePrefix="1" applyFont="1" applyFill="1" applyAlignment="1">
      <alignment horizontal="left" vertical="center" wrapText="1"/>
    </xf>
    <xf numFmtId="0" fontId="16" fillId="29" borderId="0" xfId="0" applyFont="1" applyFill="1" applyAlignment="1">
      <alignment horizontal="center" vertical="center" wrapText="1"/>
    </xf>
    <xf numFmtId="0" fontId="16" fillId="29" borderId="0" xfId="0" applyFont="1" applyFill="1" applyAlignment="1">
      <alignment horizontal="left" vertical="center" wrapText="1"/>
    </xf>
    <xf numFmtId="0" fontId="55" fillId="29" borderId="0" xfId="0" applyFont="1" applyFill="1" applyAlignment="1">
      <alignment horizontal="center" vertical="center" wrapText="1"/>
    </xf>
    <xf numFmtId="20" fontId="52" fillId="29" borderId="0" xfId="0" applyNumberFormat="1" applyFont="1" applyFill="1" applyAlignment="1">
      <alignment horizontal="center" vertical="center" wrapText="1"/>
    </xf>
    <xf numFmtId="0" fontId="0" fillId="29" borderId="0" xfId="0" applyFill="1"/>
    <xf numFmtId="0" fontId="30" fillId="29" borderId="0" xfId="0" applyFont="1" applyFill="1" applyAlignment="1">
      <alignment vertical="center" textRotation="90"/>
    </xf>
    <xf numFmtId="0" fontId="30" fillId="29" borderId="0" xfId="0" applyFont="1" applyFill="1" applyAlignment="1">
      <alignment horizontal="center" vertical="center" textRotation="90"/>
    </xf>
    <xf numFmtId="0" fontId="16" fillId="29" borderId="0" xfId="0" quotePrefix="1" applyFont="1" applyFill="1" applyAlignment="1">
      <alignment horizontal="center" vertical="center" textRotation="90" wrapText="1"/>
    </xf>
    <xf numFmtId="0" fontId="1" fillId="0" borderId="0" xfId="0" applyFont="1" applyAlignment="1">
      <alignment horizontal="center" vertical="top"/>
    </xf>
    <xf numFmtId="0" fontId="39" fillId="0" borderId="2" xfId="0" applyFont="1" applyBorder="1" applyAlignment="1">
      <alignment horizontal="center" vertical="top" wrapText="1"/>
    </xf>
    <xf numFmtId="0" fontId="41" fillId="0" borderId="5" xfId="0" applyFont="1" applyBorder="1" applyAlignment="1">
      <alignment vertical="top" textRotation="90"/>
    </xf>
    <xf numFmtId="0" fontId="43" fillId="8" borderId="0" xfId="0" applyFont="1" applyFill="1" applyAlignment="1">
      <alignment horizontal="left" wrapText="1"/>
    </xf>
    <xf numFmtId="0" fontId="6" fillId="4" borderId="11" xfId="0" applyFont="1" applyFill="1" applyBorder="1" applyAlignment="1">
      <alignment horizontal="left" vertical="center" wrapText="1"/>
    </xf>
    <xf numFmtId="0" fontId="6" fillId="18" borderId="1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37" fillId="8" borderId="0" xfId="0" applyFont="1" applyFill="1" applyAlignment="1">
      <alignment horizontal="center"/>
    </xf>
    <xf numFmtId="0" fontId="21" fillId="6" borderId="0" xfId="0" applyFont="1" applyFill="1" applyAlignment="1">
      <alignment horizontal="center" vertical="center" wrapText="1"/>
    </xf>
    <xf numFmtId="0" fontId="41" fillId="0" borderId="5" xfId="0" applyFont="1" applyBorder="1" applyAlignment="1">
      <alignment horizontal="center" vertical="top" textRotation="90"/>
    </xf>
    <xf numFmtId="0" fontId="41" fillId="0" borderId="43" xfId="0" applyFont="1" applyBorder="1" applyAlignment="1">
      <alignment horizontal="center" vertical="top" textRotation="90"/>
    </xf>
    <xf numFmtId="0" fontId="41" fillId="0" borderId="30" xfId="0" applyFont="1" applyBorder="1" applyAlignment="1">
      <alignment horizontal="center" vertical="top" textRotation="90"/>
    </xf>
    <xf numFmtId="0" fontId="38" fillId="0" borderId="0" xfId="0" applyFont="1" applyAlignment="1">
      <alignment horizontal="center"/>
    </xf>
    <xf numFmtId="0" fontId="39" fillId="0" borderId="25" xfId="0" applyFont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9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0" fillId="0" borderId="0" xfId="0" applyFont="1" applyAlignment="1">
      <alignment horizontal="center" wrapText="1"/>
    </xf>
    <xf numFmtId="0" fontId="51" fillId="0" borderId="0" xfId="0" applyFont="1" applyAlignment="1">
      <alignment horizontal="center" vertical="center"/>
    </xf>
    <xf numFmtId="0" fontId="48" fillId="22" borderId="0" xfId="0" applyFont="1" applyFill="1" applyAlignment="1">
      <alignment horizontal="right"/>
    </xf>
    <xf numFmtId="0" fontId="30" fillId="3" borderId="0" xfId="0" applyFont="1" applyFill="1" applyAlignment="1">
      <alignment horizontal="center" vertical="center" textRotation="90"/>
    </xf>
    <xf numFmtId="0" fontId="31" fillId="3" borderId="0" xfId="0" quotePrefix="1" applyFont="1" applyFill="1" applyAlignment="1">
      <alignment horizontal="center" vertical="center" textRotation="90" wrapText="1"/>
    </xf>
    <xf numFmtId="0" fontId="16" fillId="3" borderId="0" xfId="0" quotePrefix="1" applyFont="1" applyFill="1" applyAlignment="1">
      <alignment horizontal="center" vertical="center" textRotation="90" wrapText="1"/>
    </xf>
    <xf numFmtId="0" fontId="41" fillId="0" borderId="2" xfId="0" applyFont="1" applyBorder="1" applyAlignment="1">
      <alignment horizontal="center" vertical="center" textRotation="90"/>
    </xf>
    <xf numFmtId="0" fontId="39" fillId="0" borderId="2" xfId="0" applyFont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 wrapText="1"/>
    </xf>
    <xf numFmtId="0" fontId="41" fillId="0" borderId="2" xfId="0" quotePrefix="1" applyFont="1" applyBorder="1" applyAlignment="1">
      <alignment horizontal="center" vertical="center" textRotation="90" wrapText="1"/>
    </xf>
    <xf numFmtId="0" fontId="41" fillId="0" borderId="25" xfId="0" applyFont="1" applyBorder="1" applyAlignment="1">
      <alignment horizontal="center" vertical="center" textRotation="90"/>
    </xf>
    <xf numFmtId="0" fontId="41" fillId="0" borderId="5" xfId="0" applyFont="1" applyBorder="1" applyAlignment="1">
      <alignment horizontal="center" vertical="center" textRotation="90"/>
    </xf>
    <xf numFmtId="0" fontId="41" fillId="0" borderId="43" xfId="0" applyFont="1" applyBorder="1" applyAlignment="1">
      <alignment horizontal="center" vertical="center" textRotation="90"/>
    </xf>
    <xf numFmtId="0" fontId="41" fillId="0" borderId="30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9B3E43E2-BA32-4118-88F5-42A296059131}"/>
  </cellStyles>
  <dxfs count="118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family val="2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CCFF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0CECE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68EEF"/>
        </patternFill>
      </fill>
    </dxf>
    <dxf>
      <fill>
        <patternFill>
          <bgColor rgb="FFCC99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00CC66"/>
        </patternFill>
      </fill>
    </dxf>
    <dxf>
      <fill>
        <patternFill>
          <bgColor rgb="FF9999FF"/>
        </patternFill>
      </fill>
    </dxf>
    <dxf>
      <fill>
        <patternFill>
          <bgColor rgb="FF00FFCC"/>
        </patternFill>
      </fill>
    </dxf>
    <dxf>
      <fill>
        <patternFill>
          <bgColor rgb="FFFF5050"/>
        </patternFill>
      </fill>
    </dxf>
    <dxf>
      <fill>
        <patternFill>
          <bgColor rgb="FFCCFF9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gray125">
          <bgColor rgb="FF92D050"/>
        </patternFill>
      </fill>
    </dxf>
    <dxf>
      <fill>
        <patternFill patternType="lightGray">
          <bgColor theme="5" tint="0.39994506668294322"/>
        </patternFill>
      </fill>
    </dxf>
    <dxf>
      <fill>
        <patternFill patternType="lightGray">
          <bgColor rgb="FF00B0F0"/>
        </patternFill>
      </fill>
    </dxf>
    <dxf>
      <fill>
        <patternFill patternType="lightGray">
          <bgColor theme="9" tint="0.59996337778862885"/>
        </patternFill>
      </fill>
    </dxf>
    <dxf>
      <fill>
        <patternFill patternType="lightGray">
          <bgColor theme="7" tint="0.59996337778862885"/>
        </patternFill>
      </fill>
    </dxf>
    <dxf>
      <fill>
        <patternFill patternType="lightGray">
          <bgColor rgb="FFFF66FF"/>
        </patternFill>
      </fill>
    </dxf>
    <dxf>
      <fill>
        <patternFill patternType="lightGray">
          <bgColor rgb="FF9999FF"/>
        </patternFill>
      </fill>
    </dxf>
    <dxf>
      <fill>
        <patternFill patternType="gray125">
          <bgColor rgb="FFFF5050"/>
        </patternFill>
      </fill>
    </dxf>
    <dxf>
      <fill>
        <patternFill patternType="lightGray">
          <bgColor rgb="FFCCFFFF"/>
        </patternFill>
      </fill>
    </dxf>
    <dxf>
      <fill>
        <patternFill patternType="gray125">
          <bgColor rgb="FF33CCCC"/>
        </patternFill>
      </fill>
    </dxf>
    <dxf>
      <fill>
        <patternFill patternType="gray125">
          <bgColor rgb="FFCC99FF"/>
        </patternFill>
      </fill>
    </dxf>
    <dxf>
      <fill>
        <patternFill patternType="gray0625">
          <bgColor rgb="FFFF66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gray125">
          <bgColor theme="7"/>
        </patternFill>
      </fill>
    </dxf>
    <dxf>
      <fill>
        <patternFill patternType="gray125">
          <bgColor theme="0" tint="-0.24994659260841701"/>
        </patternFill>
      </fill>
    </dxf>
    <dxf>
      <fill>
        <patternFill patternType="gray125">
          <bgColor theme="7" tint="0.79998168889431442"/>
        </patternFill>
      </fill>
    </dxf>
    <dxf>
      <fill>
        <patternFill patternType="gray125">
          <bgColor rgb="FFF4D6E7"/>
        </patternFill>
      </fill>
    </dxf>
    <dxf>
      <fill>
        <patternFill patternType="gray0625">
          <bgColor theme="7" tint="-0.24994659260841701"/>
        </patternFill>
      </fill>
    </dxf>
    <dxf>
      <fill>
        <patternFill patternType="gray0625">
          <bgColor rgb="FF666699"/>
        </patternFill>
      </fill>
    </dxf>
    <dxf>
      <fill>
        <patternFill patternType="gray0625">
          <bgColor rgb="FF00CC99"/>
        </patternFill>
      </fill>
    </dxf>
    <dxf>
      <fill>
        <patternFill patternType="gray125">
          <bgColor rgb="FFFBD7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CCFF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Bahnschrift Light"/>
        <family val="2"/>
        <scheme val="none"/>
      </font>
      <numFmt numFmtId="0" formatCode="General"/>
      <fill>
        <patternFill patternType="solid">
          <fgColor indexed="64"/>
          <bgColor rgb="FF006666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Bahnschrift Light"/>
        <family val="2"/>
        <scheme val="none"/>
      </font>
      <numFmt numFmtId="0" formatCode="General"/>
      <fill>
        <patternFill patternType="solid">
          <fgColor indexed="64"/>
          <bgColor rgb="FF006666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Bahnschrift Light"/>
        <family val="2"/>
        <scheme val="none"/>
      </font>
      <numFmt numFmtId="0" formatCode="General"/>
      <fill>
        <patternFill patternType="solid">
          <fgColor indexed="64"/>
          <bgColor rgb="FF006666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Bahnschrift Light"/>
        <family val="2"/>
        <scheme val="none"/>
      </font>
      <numFmt numFmtId="0" formatCode="General"/>
      <fill>
        <patternFill patternType="solid">
          <fgColor indexed="64"/>
          <bgColor rgb="FF006666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Bahnschrift Light"/>
        <family val="2"/>
        <scheme val="none"/>
      </font>
      <numFmt numFmtId="0" formatCode="General"/>
      <fill>
        <patternFill patternType="solid">
          <fgColor indexed="64"/>
          <bgColor rgb="FF006666"/>
        </patternFill>
      </fill>
    </dxf>
    <dxf>
      <font>
        <strike val="0"/>
        <outline val="0"/>
        <shadow val="0"/>
        <u val="none"/>
        <vertAlign val="baseline"/>
        <name val="Bahnschrift Light"/>
        <family val="2"/>
        <scheme val="none"/>
      </font>
      <numFmt numFmtId="0" formatCode="General"/>
      <fill>
        <patternFill patternType="solid">
          <fgColor indexed="64"/>
          <bgColor rgb="FF006666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Bahnschrift Light"/>
        <family val="2"/>
        <scheme val="none"/>
      </font>
      <numFmt numFmtId="0" formatCode="General"/>
      <fill>
        <patternFill patternType="solid">
          <fgColor indexed="64"/>
          <bgColor rgb="FF006666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Bahnschrift Light"/>
        <family val="2"/>
        <scheme val="none"/>
      </font>
      <numFmt numFmtId="0" formatCode="General"/>
      <fill>
        <patternFill patternType="solid">
          <fgColor indexed="64"/>
          <bgColor rgb="FF006666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Bahnschrift Light"/>
        <family val="2"/>
        <scheme val="none"/>
      </font>
      <numFmt numFmtId="0" formatCode="General"/>
      <fill>
        <patternFill patternType="solid">
          <fgColor indexed="64"/>
          <bgColor rgb="FF006666"/>
        </patternFill>
      </fill>
    </dxf>
    <dxf>
      <font>
        <strike val="0"/>
        <outline val="0"/>
        <shadow val="0"/>
        <u val="none"/>
        <vertAlign val="baseline"/>
        <sz val="10.5"/>
        <color theme="0"/>
        <name val="Bahnschrift Light"/>
        <family val="2"/>
        <scheme val="none"/>
      </font>
      <fill>
        <patternFill patternType="solid">
          <fgColor indexed="64"/>
          <bgColor rgb="FF006666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0"/>
        <name val="Bahnschrift Light"/>
        <family val="2"/>
        <scheme val="none"/>
      </font>
      <fill>
        <patternFill patternType="solid">
          <fgColor indexed="64"/>
          <bgColor rgb="FF006666"/>
        </patternFill>
      </fill>
    </dxf>
    <dxf>
      <font>
        <strike val="0"/>
        <outline val="0"/>
        <shadow val="0"/>
        <u val="none"/>
        <vertAlign val="baseline"/>
        <sz val="10.5"/>
        <color theme="0"/>
        <name val="Bahnschrift Light"/>
        <family val="2"/>
        <scheme val="none"/>
      </font>
      <fill>
        <patternFill patternType="solid">
          <fgColor indexed="64"/>
          <bgColor rgb="FF006666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Bahnschrift Light"/>
        <family val="2"/>
        <scheme val="none"/>
      </font>
      <fill>
        <patternFill patternType="solid">
          <fgColor indexed="64"/>
          <bgColor rgb="FF006666"/>
        </patternFill>
      </fill>
    </dxf>
    <dxf>
      <font>
        <b val="0"/>
        <strike val="0"/>
        <outline val="0"/>
        <shadow val="0"/>
        <u val="none"/>
        <vertAlign val="baseline"/>
        <sz val="9"/>
        <color theme="0"/>
        <name val="Bahnschrift Light"/>
        <family val="2"/>
        <scheme val="none"/>
      </font>
      <fill>
        <patternFill patternType="solid">
          <fgColor indexed="64"/>
          <bgColor rgb="FF006666"/>
        </patternFill>
      </fill>
      <alignment horizontal="general" vertical="center" textRotation="0" indent="0" justifyLastLine="0" shrinkToFit="0" readingOrder="0"/>
    </dxf>
  </dxfs>
  <tableStyles count="0" defaultTableStyle="TableStyleMedium2" defaultPivotStyle="PivotStyleLight16"/>
  <colors>
    <mruColors>
      <color rgb="FFCCFF99"/>
      <color rgb="FF99FFCC"/>
      <color rgb="FFFF5050"/>
      <color rgb="FF00FFCC"/>
      <color rgb="FF9999FF"/>
      <color rgb="FF00CC66"/>
      <color rgb="FFCC9900"/>
      <color rgb="FFF68EEF"/>
      <color rgb="FF666699"/>
      <color rgb="FFFB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DASHBOARD!$P$6:$P$33</c15:sqref>
                  </c15:fullRef>
                </c:ext>
              </c:extLst>
              <c:f>(DASHBOARD!$P$6:$P$20,DASHBOARD!$P$22:$P$31)</c:f>
              <c:strCache>
                <c:ptCount val="25"/>
                <c:pt idx="0">
                  <c:v>AP</c:v>
                </c:pt>
                <c:pt idx="1">
                  <c:v>AS</c:v>
                </c:pt>
                <c:pt idx="2">
                  <c:v>ABP</c:v>
                </c:pt>
                <c:pt idx="3">
                  <c:v>HS</c:v>
                </c:pt>
                <c:pt idx="4">
                  <c:v>YS</c:v>
                </c:pt>
                <c:pt idx="5">
                  <c:v>RS</c:v>
                </c:pt>
                <c:pt idx="6">
                  <c:v>EE</c:v>
                </c:pt>
                <c:pt idx="7">
                  <c:v>EFR</c:v>
                </c:pt>
                <c:pt idx="8">
                  <c:v>HA</c:v>
                </c:pt>
                <c:pt idx="9">
                  <c:v>HM</c:v>
                </c:pt>
                <c:pt idx="10">
                  <c:v>HN</c:v>
                </c:pt>
                <c:pt idx="11">
                  <c:v>HSP</c:v>
                </c:pt>
                <c:pt idx="12">
                  <c:v>HLN</c:v>
                </c:pt>
                <c:pt idx="13">
                  <c:v>HP</c:v>
                </c:pt>
                <c:pt idx="14">
                  <c:v>AI</c:v>
                </c:pt>
                <c:pt idx="15">
                  <c:v>TZ</c:v>
                </c:pt>
                <c:pt idx="16">
                  <c:v>NS</c:v>
                </c:pt>
                <c:pt idx="17">
                  <c:v>RDN</c:v>
                </c:pt>
                <c:pt idx="18">
                  <c:v>TR</c:v>
                </c:pt>
                <c:pt idx="19">
                  <c:v>YL</c:v>
                </c:pt>
                <c:pt idx="20">
                  <c:v>AAJ</c:v>
                </c:pt>
                <c:pt idx="21">
                  <c:v>DIU</c:v>
                </c:pt>
                <c:pt idx="22">
                  <c:v>FA</c:v>
                </c:pt>
                <c:pt idx="23">
                  <c:v>KH</c:v>
                </c:pt>
                <c:pt idx="24">
                  <c:v>NC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DASHBOARD!$Q$6:$Q$33</c15:sqref>
                  </c15:fullRef>
                </c:ext>
              </c:extLst>
              <c:f>(DASHBOARD!$Q$6:$Q$20,DASHBOARD!$Q$22:$Q$31)</c:f>
              <c:numCache>
                <c:formatCode>General</c:formatCode>
                <c:ptCount val="25"/>
                <c:pt idx="0">
                  <c:v>7</c:v>
                </c:pt>
                <c:pt idx="1">
                  <c:v>9</c:v>
                </c:pt>
                <c:pt idx="2">
                  <c:v>6</c:v>
                </c:pt>
                <c:pt idx="3">
                  <c:v>6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12</c:v>
                </c:pt>
                <c:pt idx="13">
                  <c:v>10.5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8</c:v>
                </c:pt>
                <c:pt idx="18">
                  <c:v>10.5</c:v>
                </c:pt>
                <c:pt idx="19">
                  <c:v>7</c:v>
                </c:pt>
                <c:pt idx="20">
                  <c:v>9</c:v>
                </c:pt>
                <c:pt idx="21">
                  <c:v>10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52-4394-B85F-58AD56FE28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5"/>
        <c:axId val="720495584"/>
        <c:axId val="720500576"/>
      </c:barChart>
      <c:catAx>
        <c:axId val="72049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00576"/>
        <c:crosses val="autoZero"/>
        <c:auto val="1"/>
        <c:lblAlgn val="ctr"/>
        <c:lblOffset val="100"/>
        <c:noMultiLvlLbl val="0"/>
      </c:catAx>
      <c:valAx>
        <c:axId val="720500576"/>
        <c:scaling>
          <c:orientation val="minMax"/>
          <c:max val="13"/>
          <c:min val="3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9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666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DASHBOARD!$P$6:$P$33</c:f>
              <c:strCache>
                <c:ptCount val="28"/>
                <c:pt idx="0">
                  <c:v>AP</c:v>
                </c:pt>
                <c:pt idx="1">
                  <c:v>AS</c:v>
                </c:pt>
                <c:pt idx="2">
                  <c:v>ABP</c:v>
                </c:pt>
                <c:pt idx="3">
                  <c:v>HS</c:v>
                </c:pt>
                <c:pt idx="4">
                  <c:v>YS</c:v>
                </c:pt>
                <c:pt idx="5">
                  <c:v>RS</c:v>
                </c:pt>
                <c:pt idx="6">
                  <c:v>EE</c:v>
                </c:pt>
                <c:pt idx="7">
                  <c:v>EFR</c:v>
                </c:pt>
                <c:pt idx="8">
                  <c:v>HA</c:v>
                </c:pt>
                <c:pt idx="9">
                  <c:v>HM</c:v>
                </c:pt>
                <c:pt idx="10">
                  <c:v>HN</c:v>
                </c:pt>
                <c:pt idx="11">
                  <c:v>HSP</c:v>
                </c:pt>
                <c:pt idx="12">
                  <c:v>HLN</c:v>
                </c:pt>
                <c:pt idx="13">
                  <c:v>HP</c:v>
                </c:pt>
                <c:pt idx="14">
                  <c:v>AI</c:v>
                </c:pt>
                <c:pt idx="15">
                  <c:v>MKU</c:v>
                </c:pt>
                <c:pt idx="16">
                  <c:v>TZ</c:v>
                </c:pt>
                <c:pt idx="17">
                  <c:v>NS</c:v>
                </c:pt>
                <c:pt idx="18">
                  <c:v>RDN</c:v>
                </c:pt>
                <c:pt idx="19">
                  <c:v>TR</c:v>
                </c:pt>
                <c:pt idx="20">
                  <c:v>YL</c:v>
                </c:pt>
                <c:pt idx="21">
                  <c:v>AAJ</c:v>
                </c:pt>
                <c:pt idx="22">
                  <c:v>DIU</c:v>
                </c:pt>
                <c:pt idx="23">
                  <c:v>FA</c:v>
                </c:pt>
                <c:pt idx="24">
                  <c:v>KH</c:v>
                </c:pt>
                <c:pt idx="25">
                  <c:v>NC</c:v>
                </c:pt>
                <c:pt idx="26">
                  <c:v>RK</c:v>
                </c:pt>
                <c:pt idx="27">
                  <c:v>SP</c:v>
                </c:pt>
              </c:strCache>
            </c:strRef>
          </c:cat>
          <c:val>
            <c:numRef>
              <c:f>DASHBOARD!$R$6:$R$33</c:f>
              <c:numCache>
                <c:formatCode>General</c:formatCode>
                <c:ptCount val="28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6</c:v>
                </c:pt>
                <c:pt idx="15">
                  <c:v>7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7</c:v>
                </c:pt>
                <c:pt idx="25">
                  <c:v>6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7-46C3-8F2C-C52BC787E6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5"/>
        <c:axId val="720495584"/>
        <c:axId val="720500576"/>
      </c:barChart>
      <c:catAx>
        <c:axId val="72049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00576"/>
        <c:crosses val="autoZero"/>
        <c:auto val="1"/>
        <c:lblAlgn val="ctr"/>
        <c:lblOffset val="100"/>
        <c:noMultiLvlLbl val="0"/>
      </c:catAx>
      <c:valAx>
        <c:axId val="720500576"/>
        <c:scaling>
          <c:orientation val="minMax"/>
          <c:max val="1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9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666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3</xdr:row>
      <xdr:rowOff>7621</xdr:rowOff>
    </xdr:from>
    <xdr:to>
      <xdr:col>8</xdr:col>
      <xdr:colOff>586740</xdr:colOff>
      <xdr:row>17</xdr:row>
      <xdr:rowOff>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325AD07-1B8A-403D-A93E-1C200B82DF52}"/>
            </a:ext>
          </a:extLst>
        </xdr:cNvPr>
        <xdr:cNvSpPr/>
      </xdr:nvSpPr>
      <xdr:spPr>
        <a:xfrm>
          <a:off x="220980" y="549042"/>
          <a:ext cx="5231865" cy="2646012"/>
        </a:xfrm>
        <a:prstGeom prst="roundRect">
          <a:avLst>
            <a:gd name="adj" fmla="val 2467"/>
          </a:avLst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365759</xdr:colOff>
      <xdr:row>5</xdr:row>
      <xdr:rowOff>7620</xdr:rowOff>
    </xdr:from>
    <xdr:to>
      <xdr:col>8</xdr:col>
      <xdr:colOff>388620</xdr:colOff>
      <xdr:row>16</xdr:row>
      <xdr:rowOff>173789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36C71A-81B3-4601-85A1-D069F1A0B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396240</xdr:colOff>
      <xdr:row>3</xdr:row>
      <xdr:rowOff>106680</xdr:rowOff>
    </xdr:from>
    <xdr:to>
      <xdr:col>1</xdr:col>
      <xdr:colOff>129540</xdr:colOff>
      <xdr:row>4</xdr:row>
      <xdr:rowOff>312420</xdr:rowOff>
    </xdr:to>
    <xdr:pic>
      <xdr:nvPicPr>
        <xdr:cNvPr id="7" name="Graphic 6" descr="Address Book with solid fill">
          <a:extLst>
            <a:ext uri="{FF2B5EF4-FFF2-40B4-BE49-F238E27FC236}">
              <a16:creationId xmlns:a16="http://schemas.microsoft.com/office/drawing/2014/main" id="{AAD4548F-E5FF-4CF0-877A-231E38864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6240" y="289560"/>
          <a:ext cx="342900" cy="342900"/>
        </a:xfrm>
        <a:prstGeom prst="rect">
          <a:avLst/>
        </a:prstGeom>
      </xdr:spPr>
    </xdr:pic>
    <xdr:clientData/>
  </xdr:twoCellAnchor>
  <xdr:twoCellAnchor>
    <xdr:from>
      <xdr:col>1</xdr:col>
      <xdr:colOff>99059</xdr:colOff>
      <xdr:row>3</xdr:row>
      <xdr:rowOff>140368</xdr:rowOff>
    </xdr:from>
    <xdr:to>
      <xdr:col>7</xdr:col>
      <xdr:colOff>447841</xdr:colOff>
      <xdr:row>4</xdr:row>
      <xdr:rowOff>272143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D222F8A-B268-406D-B2E6-18706135F74B}"/>
            </a:ext>
          </a:extLst>
        </xdr:cNvPr>
        <xdr:cNvSpPr txBox="1"/>
      </xdr:nvSpPr>
      <xdr:spPr>
        <a:xfrm>
          <a:off x="707322" y="681789"/>
          <a:ext cx="3998361" cy="272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>
            <a:solidFill>
              <a:schemeClr val="bg1"/>
            </a:solidFill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0</xdr:col>
      <xdr:colOff>227263</xdr:colOff>
      <xdr:row>18</xdr:row>
      <xdr:rowOff>60159</xdr:rowOff>
    </xdr:from>
    <xdr:to>
      <xdr:col>8</xdr:col>
      <xdr:colOff>593023</xdr:colOff>
      <xdr:row>32</xdr:row>
      <xdr:rowOff>179539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08ACD49-B0CF-4806-8190-303ED3066B8C}"/>
            </a:ext>
          </a:extLst>
        </xdr:cNvPr>
        <xdr:cNvSpPr/>
      </xdr:nvSpPr>
      <xdr:spPr>
        <a:xfrm>
          <a:off x="227263" y="3435685"/>
          <a:ext cx="5231865" cy="2646012"/>
        </a:xfrm>
        <a:prstGeom prst="roundRect">
          <a:avLst>
            <a:gd name="adj" fmla="val 2467"/>
          </a:avLst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372042</xdr:colOff>
      <xdr:row>21</xdr:row>
      <xdr:rowOff>6684</xdr:rowOff>
    </xdr:from>
    <xdr:to>
      <xdr:col>8</xdr:col>
      <xdr:colOff>394903</xdr:colOff>
      <xdr:row>32</xdr:row>
      <xdr:rowOff>172853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142273-E179-40EE-BA12-A46E422E1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678873</xdr:colOff>
      <xdr:row>5</xdr:row>
      <xdr:rowOff>10</xdr:rowOff>
    </xdr:from>
    <xdr:to>
      <xdr:col>1</xdr:col>
      <xdr:colOff>27709</xdr:colOff>
      <xdr:row>145</xdr:row>
      <xdr:rowOff>4</xdr:rowOff>
    </xdr:to>
    <xdr:sp macro="" textlink="">
      <xdr:nvSpPr>
        <xdr:cNvPr id="2" name="Rectangle: Top Corners Rounded 1">
          <a:extLst>
            <a:ext uri="{FF2B5EF4-FFF2-40B4-BE49-F238E27FC236}">
              <a16:creationId xmlns:a16="http://schemas.microsoft.com/office/drawing/2014/main" id="{296505DE-8CDC-4079-87E4-B35665CFDDBB}"/>
            </a:ext>
          </a:extLst>
        </xdr:cNvPr>
        <xdr:cNvSpPr/>
      </xdr:nvSpPr>
      <xdr:spPr>
        <a:xfrm rot="5400000">
          <a:off x="-47664136" y="49821299"/>
          <a:ext cx="96972114" cy="286096"/>
        </a:xfrm>
        <a:prstGeom prst="round2SameRect">
          <a:avLst>
            <a:gd name="adj1" fmla="val 5197"/>
            <a:gd name="adj2" fmla="val 20228"/>
          </a:avLst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</xdr:row>
      <xdr:rowOff>196272</xdr:rowOff>
    </xdr:from>
    <xdr:to>
      <xdr:col>8</xdr:col>
      <xdr:colOff>2320636</xdr:colOff>
      <xdr:row>7</xdr:row>
      <xdr:rowOff>346363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EC58BAF2-36A7-4B64-A8F8-E101C73D9454}"/>
            </a:ext>
          </a:extLst>
        </xdr:cNvPr>
        <xdr:cNvSpPr/>
      </xdr:nvSpPr>
      <xdr:spPr>
        <a:xfrm rot="10800000">
          <a:off x="10616737" y="3008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</xdr:row>
      <xdr:rowOff>196272</xdr:rowOff>
    </xdr:from>
    <xdr:to>
      <xdr:col>8</xdr:col>
      <xdr:colOff>2320636</xdr:colOff>
      <xdr:row>8</xdr:row>
      <xdr:rowOff>346363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B713C598-69E9-4747-B041-99649B18ABF2}"/>
            </a:ext>
          </a:extLst>
        </xdr:cNvPr>
        <xdr:cNvSpPr/>
      </xdr:nvSpPr>
      <xdr:spPr>
        <a:xfrm rot="10800000">
          <a:off x="10616737" y="3579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</xdr:row>
      <xdr:rowOff>196272</xdr:rowOff>
    </xdr:from>
    <xdr:to>
      <xdr:col>8</xdr:col>
      <xdr:colOff>2320636</xdr:colOff>
      <xdr:row>9</xdr:row>
      <xdr:rowOff>346363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C4F068A0-AD2D-438F-A7B4-0159EBC7C020}"/>
            </a:ext>
          </a:extLst>
        </xdr:cNvPr>
        <xdr:cNvSpPr/>
      </xdr:nvSpPr>
      <xdr:spPr>
        <a:xfrm rot="10800000">
          <a:off x="10616737" y="4151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</xdr:row>
      <xdr:rowOff>196272</xdr:rowOff>
    </xdr:from>
    <xdr:to>
      <xdr:col>8</xdr:col>
      <xdr:colOff>2320636</xdr:colOff>
      <xdr:row>10</xdr:row>
      <xdr:rowOff>346363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D8C76381-F3AF-4937-8260-D8060C494BF8}"/>
            </a:ext>
          </a:extLst>
        </xdr:cNvPr>
        <xdr:cNvSpPr/>
      </xdr:nvSpPr>
      <xdr:spPr>
        <a:xfrm rot="10800000">
          <a:off x="10616737" y="4722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</xdr:row>
      <xdr:rowOff>196272</xdr:rowOff>
    </xdr:from>
    <xdr:to>
      <xdr:col>8</xdr:col>
      <xdr:colOff>2320636</xdr:colOff>
      <xdr:row>11</xdr:row>
      <xdr:rowOff>346363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1906646E-6A2A-43F3-A8D4-B9550C414BC2}"/>
            </a:ext>
          </a:extLst>
        </xdr:cNvPr>
        <xdr:cNvSpPr/>
      </xdr:nvSpPr>
      <xdr:spPr>
        <a:xfrm rot="10800000">
          <a:off x="10616737" y="5294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</xdr:row>
      <xdr:rowOff>196272</xdr:rowOff>
    </xdr:from>
    <xdr:to>
      <xdr:col>10</xdr:col>
      <xdr:colOff>2320636</xdr:colOff>
      <xdr:row>7</xdr:row>
      <xdr:rowOff>346363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4B0FB154-1170-494E-B3E0-6B033F1360DD}"/>
            </a:ext>
          </a:extLst>
        </xdr:cNvPr>
        <xdr:cNvSpPr/>
      </xdr:nvSpPr>
      <xdr:spPr>
        <a:xfrm rot="10800000">
          <a:off x="14083837" y="3008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</xdr:row>
      <xdr:rowOff>196272</xdr:rowOff>
    </xdr:from>
    <xdr:to>
      <xdr:col>10</xdr:col>
      <xdr:colOff>2320636</xdr:colOff>
      <xdr:row>8</xdr:row>
      <xdr:rowOff>346363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ED237A30-46ED-4E9E-A2A3-82011AE8A4B3}"/>
            </a:ext>
          </a:extLst>
        </xdr:cNvPr>
        <xdr:cNvSpPr/>
      </xdr:nvSpPr>
      <xdr:spPr>
        <a:xfrm rot="10800000">
          <a:off x="14083837" y="3579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</xdr:row>
      <xdr:rowOff>196272</xdr:rowOff>
    </xdr:from>
    <xdr:to>
      <xdr:col>10</xdr:col>
      <xdr:colOff>2320636</xdr:colOff>
      <xdr:row>9</xdr:row>
      <xdr:rowOff>346363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FD48F969-4453-402B-8281-70AD4AF0E828}"/>
            </a:ext>
          </a:extLst>
        </xdr:cNvPr>
        <xdr:cNvSpPr/>
      </xdr:nvSpPr>
      <xdr:spPr>
        <a:xfrm rot="10800000">
          <a:off x="14083837" y="4151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</xdr:row>
      <xdr:rowOff>196272</xdr:rowOff>
    </xdr:from>
    <xdr:to>
      <xdr:col>10</xdr:col>
      <xdr:colOff>2320636</xdr:colOff>
      <xdr:row>10</xdr:row>
      <xdr:rowOff>346363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3CEF76BD-9204-4B47-9040-022AF8CCE47A}"/>
            </a:ext>
          </a:extLst>
        </xdr:cNvPr>
        <xdr:cNvSpPr/>
      </xdr:nvSpPr>
      <xdr:spPr>
        <a:xfrm rot="10800000">
          <a:off x="14083837" y="4722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</xdr:row>
      <xdr:rowOff>196272</xdr:rowOff>
    </xdr:from>
    <xdr:to>
      <xdr:col>10</xdr:col>
      <xdr:colOff>2320636</xdr:colOff>
      <xdr:row>11</xdr:row>
      <xdr:rowOff>346363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62CA9DFA-A4DC-4F3F-9DA5-F4C66ED548C0}"/>
            </a:ext>
          </a:extLst>
        </xdr:cNvPr>
        <xdr:cNvSpPr/>
      </xdr:nvSpPr>
      <xdr:spPr>
        <a:xfrm rot="10800000">
          <a:off x="14083837" y="5294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</xdr:row>
      <xdr:rowOff>196272</xdr:rowOff>
    </xdr:from>
    <xdr:to>
      <xdr:col>8</xdr:col>
      <xdr:colOff>2320636</xdr:colOff>
      <xdr:row>13</xdr:row>
      <xdr:rowOff>346363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1E0B929C-AB85-4551-B295-8742D0009197}"/>
            </a:ext>
          </a:extLst>
        </xdr:cNvPr>
        <xdr:cNvSpPr/>
      </xdr:nvSpPr>
      <xdr:spPr>
        <a:xfrm rot="10800000">
          <a:off x="10616737" y="6437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</xdr:row>
      <xdr:rowOff>196272</xdr:rowOff>
    </xdr:from>
    <xdr:to>
      <xdr:col>8</xdr:col>
      <xdr:colOff>2320636</xdr:colOff>
      <xdr:row>14</xdr:row>
      <xdr:rowOff>346363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49AE8272-84C5-4857-A916-CDD217942BB9}"/>
            </a:ext>
          </a:extLst>
        </xdr:cNvPr>
        <xdr:cNvSpPr/>
      </xdr:nvSpPr>
      <xdr:spPr>
        <a:xfrm rot="10800000">
          <a:off x="10616737" y="7008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</xdr:row>
      <xdr:rowOff>196272</xdr:rowOff>
    </xdr:from>
    <xdr:to>
      <xdr:col>8</xdr:col>
      <xdr:colOff>2320636</xdr:colOff>
      <xdr:row>15</xdr:row>
      <xdr:rowOff>346363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03CCBB03-C473-4C58-8496-7C792853C701}"/>
            </a:ext>
          </a:extLst>
        </xdr:cNvPr>
        <xdr:cNvSpPr/>
      </xdr:nvSpPr>
      <xdr:spPr>
        <a:xfrm rot="10800000">
          <a:off x="10616737" y="7580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</xdr:row>
      <xdr:rowOff>196272</xdr:rowOff>
    </xdr:from>
    <xdr:to>
      <xdr:col>8</xdr:col>
      <xdr:colOff>2320636</xdr:colOff>
      <xdr:row>16</xdr:row>
      <xdr:rowOff>346363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id="{11CA578E-A48E-4922-BE10-99DEED8DDAB3}"/>
            </a:ext>
          </a:extLst>
        </xdr:cNvPr>
        <xdr:cNvSpPr/>
      </xdr:nvSpPr>
      <xdr:spPr>
        <a:xfrm rot="10800000">
          <a:off x="10616737" y="8151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</xdr:row>
      <xdr:rowOff>196272</xdr:rowOff>
    </xdr:from>
    <xdr:to>
      <xdr:col>8</xdr:col>
      <xdr:colOff>2320636</xdr:colOff>
      <xdr:row>17</xdr:row>
      <xdr:rowOff>346363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C0D1941A-FAD5-44F7-81CC-E78A15EF5FCB}"/>
            </a:ext>
          </a:extLst>
        </xdr:cNvPr>
        <xdr:cNvSpPr/>
      </xdr:nvSpPr>
      <xdr:spPr>
        <a:xfrm rot="10800000">
          <a:off x="10616737" y="8723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</xdr:row>
      <xdr:rowOff>196272</xdr:rowOff>
    </xdr:from>
    <xdr:to>
      <xdr:col>10</xdr:col>
      <xdr:colOff>2320636</xdr:colOff>
      <xdr:row>13</xdr:row>
      <xdr:rowOff>346363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EC7173F7-91CE-44A3-AB27-4AD04E701890}"/>
            </a:ext>
          </a:extLst>
        </xdr:cNvPr>
        <xdr:cNvSpPr/>
      </xdr:nvSpPr>
      <xdr:spPr>
        <a:xfrm rot="10800000">
          <a:off x="14083837" y="6437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</xdr:row>
      <xdr:rowOff>196272</xdr:rowOff>
    </xdr:from>
    <xdr:to>
      <xdr:col>10</xdr:col>
      <xdr:colOff>2320636</xdr:colOff>
      <xdr:row>14</xdr:row>
      <xdr:rowOff>346363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98E611CF-85C4-4E80-8EC9-85430E83A6FD}"/>
            </a:ext>
          </a:extLst>
        </xdr:cNvPr>
        <xdr:cNvSpPr/>
      </xdr:nvSpPr>
      <xdr:spPr>
        <a:xfrm rot="10800000">
          <a:off x="14083837" y="7008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</xdr:row>
      <xdr:rowOff>196272</xdr:rowOff>
    </xdr:from>
    <xdr:to>
      <xdr:col>10</xdr:col>
      <xdr:colOff>2320636</xdr:colOff>
      <xdr:row>15</xdr:row>
      <xdr:rowOff>346363</xdr:rowOff>
    </xdr:to>
    <xdr:sp macro="" textlink="">
      <xdr:nvSpPr>
        <xdr:cNvPr id="20" name="Isosceles Triangle 19">
          <a:extLst>
            <a:ext uri="{FF2B5EF4-FFF2-40B4-BE49-F238E27FC236}">
              <a16:creationId xmlns:a16="http://schemas.microsoft.com/office/drawing/2014/main" id="{682C9A8A-B979-455A-A2DE-4DA11EE0A61F}"/>
            </a:ext>
          </a:extLst>
        </xdr:cNvPr>
        <xdr:cNvSpPr/>
      </xdr:nvSpPr>
      <xdr:spPr>
        <a:xfrm rot="10800000">
          <a:off x="14083837" y="7580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</xdr:row>
      <xdr:rowOff>196272</xdr:rowOff>
    </xdr:from>
    <xdr:to>
      <xdr:col>10</xdr:col>
      <xdr:colOff>2320636</xdr:colOff>
      <xdr:row>16</xdr:row>
      <xdr:rowOff>346363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C26745A9-71EE-4B9D-99F2-4E6FEEE9085A}"/>
            </a:ext>
          </a:extLst>
        </xdr:cNvPr>
        <xdr:cNvSpPr/>
      </xdr:nvSpPr>
      <xdr:spPr>
        <a:xfrm rot="10800000">
          <a:off x="14083837" y="8151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</xdr:row>
      <xdr:rowOff>196272</xdr:rowOff>
    </xdr:from>
    <xdr:to>
      <xdr:col>10</xdr:col>
      <xdr:colOff>2320636</xdr:colOff>
      <xdr:row>17</xdr:row>
      <xdr:rowOff>346363</xdr:rowOff>
    </xdr:to>
    <xdr:sp macro="" textlink="">
      <xdr:nvSpPr>
        <xdr:cNvPr id="22" name="Isosceles Triangle 21">
          <a:extLst>
            <a:ext uri="{FF2B5EF4-FFF2-40B4-BE49-F238E27FC236}">
              <a16:creationId xmlns:a16="http://schemas.microsoft.com/office/drawing/2014/main" id="{0DA08A78-1328-42CB-85B8-E898F938C9D8}"/>
            </a:ext>
          </a:extLst>
        </xdr:cNvPr>
        <xdr:cNvSpPr/>
      </xdr:nvSpPr>
      <xdr:spPr>
        <a:xfrm rot="10800000">
          <a:off x="14083837" y="8723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19</xdr:row>
      <xdr:rowOff>196272</xdr:rowOff>
    </xdr:from>
    <xdr:to>
      <xdr:col>8</xdr:col>
      <xdr:colOff>2320636</xdr:colOff>
      <xdr:row>19</xdr:row>
      <xdr:rowOff>346363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0F847DCA-05CA-46E7-99FD-397E8BEF686E}"/>
            </a:ext>
          </a:extLst>
        </xdr:cNvPr>
        <xdr:cNvSpPr/>
      </xdr:nvSpPr>
      <xdr:spPr>
        <a:xfrm rot="10800000">
          <a:off x="10616737" y="9866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20</xdr:row>
      <xdr:rowOff>196272</xdr:rowOff>
    </xdr:from>
    <xdr:to>
      <xdr:col>8</xdr:col>
      <xdr:colOff>2320636</xdr:colOff>
      <xdr:row>20</xdr:row>
      <xdr:rowOff>346363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CECACDB8-BFE7-4C36-9847-A5987147C4F6}"/>
            </a:ext>
          </a:extLst>
        </xdr:cNvPr>
        <xdr:cNvSpPr/>
      </xdr:nvSpPr>
      <xdr:spPr>
        <a:xfrm rot="10800000">
          <a:off x="10616737" y="10437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25" name="Isosceles Triangle 24">
          <a:extLst>
            <a:ext uri="{FF2B5EF4-FFF2-40B4-BE49-F238E27FC236}">
              <a16:creationId xmlns:a16="http://schemas.microsoft.com/office/drawing/2014/main" id="{9287410A-8168-426F-8FE4-50F7581A5393}"/>
            </a:ext>
          </a:extLst>
        </xdr:cNvPr>
        <xdr:cNvSpPr/>
      </xdr:nvSpPr>
      <xdr:spPr>
        <a:xfrm rot="10800000">
          <a:off x="10616737" y="11009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26" name="Isosceles Triangle 25">
          <a:extLst>
            <a:ext uri="{FF2B5EF4-FFF2-40B4-BE49-F238E27FC236}">
              <a16:creationId xmlns:a16="http://schemas.microsoft.com/office/drawing/2014/main" id="{05FB7C18-2A88-4403-B285-D9C736893F90}"/>
            </a:ext>
          </a:extLst>
        </xdr:cNvPr>
        <xdr:cNvSpPr/>
      </xdr:nvSpPr>
      <xdr:spPr>
        <a:xfrm rot="10800000">
          <a:off x="10616737" y="11580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23</xdr:row>
      <xdr:rowOff>196272</xdr:rowOff>
    </xdr:from>
    <xdr:to>
      <xdr:col>8</xdr:col>
      <xdr:colOff>2320636</xdr:colOff>
      <xdr:row>23</xdr:row>
      <xdr:rowOff>346363</xdr:rowOff>
    </xdr:to>
    <xdr:sp macro="" textlink="">
      <xdr:nvSpPr>
        <xdr:cNvPr id="27" name="Isosceles Triangle 26">
          <a:extLst>
            <a:ext uri="{FF2B5EF4-FFF2-40B4-BE49-F238E27FC236}">
              <a16:creationId xmlns:a16="http://schemas.microsoft.com/office/drawing/2014/main" id="{A715B11B-D83A-4E0B-AE53-5A80A8B28D52}"/>
            </a:ext>
          </a:extLst>
        </xdr:cNvPr>
        <xdr:cNvSpPr/>
      </xdr:nvSpPr>
      <xdr:spPr>
        <a:xfrm rot="10800000">
          <a:off x="10616737" y="12152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19</xdr:row>
      <xdr:rowOff>196272</xdr:rowOff>
    </xdr:from>
    <xdr:to>
      <xdr:col>10</xdr:col>
      <xdr:colOff>2320636</xdr:colOff>
      <xdr:row>19</xdr:row>
      <xdr:rowOff>346363</xdr:rowOff>
    </xdr:to>
    <xdr:sp macro="" textlink="">
      <xdr:nvSpPr>
        <xdr:cNvPr id="28" name="Isosceles Triangle 27">
          <a:extLst>
            <a:ext uri="{FF2B5EF4-FFF2-40B4-BE49-F238E27FC236}">
              <a16:creationId xmlns:a16="http://schemas.microsoft.com/office/drawing/2014/main" id="{A871468A-FF3D-48C1-B69F-9E98640DAE5E}"/>
            </a:ext>
          </a:extLst>
        </xdr:cNvPr>
        <xdr:cNvSpPr/>
      </xdr:nvSpPr>
      <xdr:spPr>
        <a:xfrm rot="10800000">
          <a:off x="14083837" y="9866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20</xdr:row>
      <xdr:rowOff>196272</xdr:rowOff>
    </xdr:from>
    <xdr:to>
      <xdr:col>10</xdr:col>
      <xdr:colOff>2320636</xdr:colOff>
      <xdr:row>20</xdr:row>
      <xdr:rowOff>346363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0C7C4D81-013E-4E18-9614-A62AF8040632}"/>
            </a:ext>
          </a:extLst>
        </xdr:cNvPr>
        <xdr:cNvSpPr/>
      </xdr:nvSpPr>
      <xdr:spPr>
        <a:xfrm rot="10800000">
          <a:off x="14083837" y="10437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47625777-DA1E-4B39-8980-D406CBC1B12A}"/>
            </a:ext>
          </a:extLst>
        </xdr:cNvPr>
        <xdr:cNvSpPr/>
      </xdr:nvSpPr>
      <xdr:spPr>
        <a:xfrm rot="10800000">
          <a:off x="14083837" y="11009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15C9DFA4-50C9-4F5F-BF01-AD530A5FF5C9}"/>
            </a:ext>
          </a:extLst>
        </xdr:cNvPr>
        <xdr:cNvSpPr/>
      </xdr:nvSpPr>
      <xdr:spPr>
        <a:xfrm rot="10800000">
          <a:off x="14083837" y="11580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23</xdr:row>
      <xdr:rowOff>196272</xdr:rowOff>
    </xdr:from>
    <xdr:to>
      <xdr:col>10</xdr:col>
      <xdr:colOff>2320636</xdr:colOff>
      <xdr:row>23</xdr:row>
      <xdr:rowOff>346363</xdr:rowOff>
    </xdr:to>
    <xdr:sp macro="" textlink="">
      <xdr:nvSpPr>
        <xdr:cNvPr id="32" name="Isosceles Triangle 31">
          <a:extLst>
            <a:ext uri="{FF2B5EF4-FFF2-40B4-BE49-F238E27FC236}">
              <a16:creationId xmlns:a16="http://schemas.microsoft.com/office/drawing/2014/main" id="{C4E9E53D-6F22-4447-852E-99FEA1DFE4B6}"/>
            </a:ext>
          </a:extLst>
        </xdr:cNvPr>
        <xdr:cNvSpPr/>
      </xdr:nvSpPr>
      <xdr:spPr>
        <a:xfrm rot="10800000">
          <a:off x="14083837" y="12152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25</xdr:row>
      <xdr:rowOff>196272</xdr:rowOff>
    </xdr:from>
    <xdr:to>
      <xdr:col>8</xdr:col>
      <xdr:colOff>2320636</xdr:colOff>
      <xdr:row>25</xdr:row>
      <xdr:rowOff>346363</xdr:rowOff>
    </xdr:to>
    <xdr:sp macro="" textlink="">
      <xdr:nvSpPr>
        <xdr:cNvPr id="33" name="Isosceles Triangle 32">
          <a:extLst>
            <a:ext uri="{FF2B5EF4-FFF2-40B4-BE49-F238E27FC236}">
              <a16:creationId xmlns:a16="http://schemas.microsoft.com/office/drawing/2014/main" id="{7F2E0529-ACC4-485E-A6AE-008A9F409290}"/>
            </a:ext>
          </a:extLst>
        </xdr:cNvPr>
        <xdr:cNvSpPr/>
      </xdr:nvSpPr>
      <xdr:spPr>
        <a:xfrm rot="10800000">
          <a:off x="10616737" y="13295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34" name="Isosceles Triangle 33">
          <a:extLst>
            <a:ext uri="{FF2B5EF4-FFF2-40B4-BE49-F238E27FC236}">
              <a16:creationId xmlns:a16="http://schemas.microsoft.com/office/drawing/2014/main" id="{9E5B4330-3383-466A-84EA-35871890F68B}"/>
            </a:ext>
          </a:extLst>
        </xdr:cNvPr>
        <xdr:cNvSpPr/>
      </xdr:nvSpPr>
      <xdr:spPr>
        <a:xfrm rot="10800000">
          <a:off x="10616737" y="13866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27</xdr:row>
      <xdr:rowOff>196272</xdr:rowOff>
    </xdr:from>
    <xdr:to>
      <xdr:col>8</xdr:col>
      <xdr:colOff>2320636</xdr:colOff>
      <xdr:row>27</xdr:row>
      <xdr:rowOff>346363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6D7C9C6E-D523-4CB3-8C2E-308D071026A2}"/>
            </a:ext>
          </a:extLst>
        </xdr:cNvPr>
        <xdr:cNvSpPr/>
      </xdr:nvSpPr>
      <xdr:spPr>
        <a:xfrm rot="10800000">
          <a:off x="10616737" y="14438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3F604BBB-7FBE-45C0-AAEF-3E2779AE5A93}"/>
            </a:ext>
          </a:extLst>
        </xdr:cNvPr>
        <xdr:cNvSpPr/>
      </xdr:nvSpPr>
      <xdr:spPr>
        <a:xfrm rot="10800000">
          <a:off x="10616737" y="15009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29</xdr:row>
      <xdr:rowOff>196272</xdr:rowOff>
    </xdr:from>
    <xdr:to>
      <xdr:col>8</xdr:col>
      <xdr:colOff>2320636</xdr:colOff>
      <xdr:row>29</xdr:row>
      <xdr:rowOff>346363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88420E30-83A3-454F-BAA3-58CC29284FB5}"/>
            </a:ext>
          </a:extLst>
        </xdr:cNvPr>
        <xdr:cNvSpPr/>
      </xdr:nvSpPr>
      <xdr:spPr>
        <a:xfrm rot="10800000">
          <a:off x="10616737" y="15581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25</xdr:row>
      <xdr:rowOff>196272</xdr:rowOff>
    </xdr:from>
    <xdr:to>
      <xdr:col>10</xdr:col>
      <xdr:colOff>2320636</xdr:colOff>
      <xdr:row>25</xdr:row>
      <xdr:rowOff>346363</xdr:rowOff>
    </xdr:to>
    <xdr:sp macro="" textlink="">
      <xdr:nvSpPr>
        <xdr:cNvPr id="38" name="Isosceles Triangle 37">
          <a:extLst>
            <a:ext uri="{FF2B5EF4-FFF2-40B4-BE49-F238E27FC236}">
              <a16:creationId xmlns:a16="http://schemas.microsoft.com/office/drawing/2014/main" id="{A3C79F5A-5016-4AA7-BA41-9514BFB6CBCF}"/>
            </a:ext>
          </a:extLst>
        </xdr:cNvPr>
        <xdr:cNvSpPr/>
      </xdr:nvSpPr>
      <xdr:spPr>
        <a:xfrm rot="10800000">
          <a:off x="14083837" y="13295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39" name="Isosceles Triangle 38">
          <a:extLst>
            <a:ext uri="{FF2B5EF4-FFF2-40B4-BE49-F238E27FC236}">
              <a16:creationId xmlns:a16="http://schemas.microsoft.com/office/drawing/2014/main" id="{1C9331D2-618D-4586-A255-7155A0C7DE08}"/>
            </a:ext>
          </a:extLst>
        </xdr:cNvPr>
        <xdr:cNvSpPr/>
      </xdr:nvSpPr>
      <xdr:spPr>
        <a:xfrm rot="10800000">
          <a:off x="14083837" y="13866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40" name="Isosceles Triangle 39">
          <a:extLst>
            <a:ext uri="{FF2B5EF4-FFF2-40B4-BE49-F238E27FC236}">
              <a16:creationId xmlns:a16="http://schemas.microsoft.com/office/drawing/2014/main" id="{214D4E7E-D1F0-43F4-AF8F-36D9DD417D81}"/>
            </a:ext>
          </a:extLst>
        </xdr:cNvPr>
        <xdr:cNvSpPr/>
      </xdr:nvSpPr>
      <xdr:spPr>
        <a:xfrm rot="10800000">
          <a:off x="14083837" y="14438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41" name="Isosceles Triangle 40">
          <a:extLst>
            <a:ext uri="{FF2B5EF4-FFF2-40B4-BE49-F238E27FC236}">
              <a16:creationId xmlns:a16="http://schemas.microsoft.com/office/drawing/2014/main" id="{33B77D3F-35D8-4F79-9947-2030F49D6E7F}"/>
            </a:ext>
          </a:extLst>
        </xdr:cNvPr>
        <xdr:cNvSpPr/>
      </xdr:nvSpPr>
      <xdr:spPr>
        <a:xfrm rot="10800000">
          <a:off x="14083837" y="15009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29</xdr:row>
      <xdr:rowOff>196272</xdr:rowOff>
    </xdr:from>
    <xdr:to>
      <xdr:col>10</xdr:col>
      <xdr:colOff>2320636</xdr:colOff>
      <xdr:row>29</xdr:row>
      <xdr:rowOff>346363</xdr:rowOff>
    </xdr:to>
    <xdr:sp macro="" textlink="">
      <xdr:nvSpPr>
        <xdr:cNvPr id="42" name="Isosceles Triangle 41">
          <a:extLst>
            <a:ext uri="{FF2B5EF4-FFF2-40B4-BE49-F238E27FC236}">
              <a16:creationId xmlns:a16="http://schemas.microsoft.com/office/drawing/2014/main" id="{599DF8FE-DA55-45F5-914B-13F0A15A3FB8}"/>
            </a:ext>
          </a:extLst>
        </xdr:cNvPr>
        <xdr:cNvSpPr/>
      </xdr:nvSpPr>
      <xdr:spPr>
        <a:xfrm rot="10800000">
          <a:off x="14083837" y="15581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37</xdr:row>
      <xdr:rowOff>196272</xdr:rowOff>
    </xdr:from>
    <xdr:to>
      <xdr:col>8</xdr:col>
      <xdr:colOff>2320636</xdr:colOff>
      <xdr:row>37</xdr:row>
      <xdr:rowOff>346363</xdr:rowOff>
    </xdr:to>
    <xdr:sp macro="" textlink="">
      <xdr:nvSpPr>
        <xdr:cNvPr id="43" name="Isosceles Triangle 42">
          <a:extLst>
            <a:ext uri="{FF2B5EF4-FFF2-40B4-BE49-F238E27FC236}">
              <a16:creationId xmlns:a16="http://schemas.microsoft.com/office/drawing/2014/main" id="{FA375AA9-4DE3-4B05-88F6-68BD32C1BF02}"/>
            </a:ext>
          </a:extLst>
        </xdr:cNvPr>
        <xdr:cNvSpPr/>
      </xdr:nvSpPr>
      <xdr:spPr>
        <a:xfrm rot="10800000">
          <a:off x="10616737" y="20153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44" name="Isosceles Triangle 43">
          <a:extLst>
            <a:ext uri="{FF2B5EF4-FFF2-40B4-BE49-F238E27FC236}">
              <a16:creationId xmlns:a16="http://schemas.microsoft.com/office/drawing/2014/main" id="{0D9453DA-AB57-4397-AA44-F6859D5229E2}"/>
            </a:ext>
          </a:extLst>
        </xdr:cNvPr>
        <xdr:cNvSpPr/>
      </xdr:nvSpPr>
      <xdr:spPr>
        <a:xfrm rot="10800000">
          <a:off x="10616737" y="20724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45" name="Isosceles Triangle 44">
          <a:extLst>
            <a:ext uri="{FF2B5EF4-FFF2-40B4-BE49-F238E27FC236}">
              <a16:creationId xmlns:a16="http://schemas.microsoft.com/office/drawing/2014/main" id="{CED42A6E-114E-42AA-8680-70C66F4C84D8}"/>
            </a:ext>
          </a:extLst>
        </xdr:cNvPr>
        <xdr:cNvSpPr/>
      </xdr:nvSpPr>
      <xdr:spPr>
        <a:xfrm rot="10800000">
          <a:off x="10616737" y="21296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46" name="Isosceles Triangle 45">
          <a:extLst>
            <a:ext uri="{FF2B5EF4-FFF2-40B4-BE49-F238E27FC236}">
              <a16:creationId xmlns:a16="http://schemas.microsoft.com/office/drawing/2014/main" id="{12E0D703-7A4A-4267-95A6-6F92DCC3C106}"/>
            </a:ext>
          </a:extLst>
        </xdr:cNvPr>
        <xdr:cNvSpPr/>
      </xdr:nvSpPr>
      <xdr:spPr>
        <a:xfrm rot="10800000">
          <a:off x="10616737" y="21867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41</xdr:row>
      <xdr:rowOff>196272</xdr:rowOff>
    </xdr:from>
    <xdr:to>
      <xdr:col>8</xdr:col>
      <xdr:colOff>2320636</xdr:colOff>
      <xdr:row>41</xdr:row>
      <xdr:rowOff>346363</xdr:rowOff>
    </xdr:to>
    <xdr:sp macro="" textlink="">
      <xdr:nvSpPr>
        <xdr:cNvPr id="47" name="Isosceles Triangle 46">
          <a:extLst>
            <a:ext uri="{FF2B5EF4-FFF2-40B4-BE49-F238E27FC236}">
              <a16:creationId xmlns:a16="http://schemas.microsoft.com/office/drawing/2014/main" id="{55C72745-90B1-40B9-80F5-4B640F18AEEA}"/>
            </a:ext>
          </a:extLst>
        </xdr:cNvPr>
        <xdr:cNvSpPr/>
      </xdr:nvSpPr>
      <xdr:spPr>
        <a:xfrm rot="10800000">
          <a:off x="10616737" y="22439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37</xdr:row>
      <xdr:rowOff>196272</xdr:rowOff>
    </xdr:from>
    <xdr:to>
      <xdr:col>10</xdr:col>
      <xdr:colOff>2320636</xdr:colOff>
      <xdr:row>37</xdr:row>
      <xdr:rowOff>346363</xdr:rowOff>
    </xdr:to>
    <xdr:sp macro="" textlink="">
      <xdr:nvSpPr>
        <xdr:cNvPr id="48" name="Isosceles Triangle 47">
          <a:extLst>
            <a:ext uri="{FF2B5EF4-FFF2-40B4-BE49-F238E27FC236}">
              <a16:creationId xmlns:a16="http://schemas.microsoft.com/office/drawing/2014/main" id="{8DA92042-E2CE-4DE1-9E0B-A7B85E247F0D}"/>
            </a:ext>
          </a:extLst>
        </xdr:cNvPr>
        <xdr:cNvSpPr/>
      </xdr:nvSpPr>
      <xdr:spPr>
        <a:xfrm rot="10800000">
          <a:off x="14083837" y="20153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38</xdr:row>
      <xdr:rowOff>196272</xdr:rowOff>
    </xdr:from>
    <xdr:to>
      <xdr:col>10</xdr:col>
      <xdr:colOff>2320636</xdr:colOff>
      <xdr:row>38</xdr:row>
      <xdr:rowOff>346363</xdr:rowOff>
    </xdr:to>
    <xdr:sp macro="" textlink="">
      <xdr:nvSpPr>
        <xdr:cNvPr id="49" name="Isosceles Triangle 48">
          <a:extLst>
            <a:ext uri="{FF2B5EF4-FFF2-40B4-BE49-F238E27FC236}">
              <a16:creationId xmlns:a16="http://schemas.microsoft.com/office/drawing/2014/main" id="{D1FD5F11-499C-4657-8043-6BCE57956ABE}"/>
            </a:ext>
          </a:extLst>
        </xdr:cNvPr>
        <xdr:cNvSpPr/>
      </xdr:nvSpPr>
      <xdr:spPr>
        <a:xfrm rot="10800000">
          <a:off x="14083837" y="20724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39</xdr:row>
      <xdr:rowOff>196272</xdr:rowOff>
    </xdr:from>
    <xdr:to>
      <xdr:col>10</xdr:col>
      <xdr:colOff>2320636</xdr:colOff>
      <xdr:row>39</xdr:row>
      <xdr:rowOff>346363</xdr:rowOff>
    </xdr:to>
    <xdr:sp macro="" textlink="">
      <xdr:nvSpPr>
        <xdr:cNvPr id="50" name="Isosceles Triangle 49">
          <a:extLst>
            <a:ext uri="{FF2B5EF4-FFF2-40B4-BE49-F238E27FC236}">
              <a16:creationId xmlns:a16="http://schemas.microsoft.com/office/drawing/2014/main" id="{DDBDE514-B24B-49E0-BFF3-AC579B320B17}"/>
            </a:ext>
          </a:extLst>
        </xdr:cNvPr>
        <xdr:cNvSpPr/>
      </xdr:nvSpPr>
      <xdr:spPr>
        <a:xfrm rot="10800000">
          <a:off x="14083837" y="21296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40</xdr:row>
      <xdr:rowOff>196272</xdr:rowOff>
    </xdr:from>
    <xdr:to>
      <xdr:col>10</xdr:col>
      <xdr:colOff>2320636</xdr:colOff>
      <xdr:row>40</xdr:row>
      <xdr:rowOff>346363</xdr:rowOff>
    </xdr:to>
    <xdr:sp macro="" textlink="">
      <xdr:nvSpPr>
        <xdr:cNvPr id="51" name="Isosceles Triangle 50">
          <a:extLst>
            <a:ext uri="{FF2B5EF4-FFF2-40B4-BE49-F238E27FC236}">
              <a16:creationId xmlns:a16="http://schemas.microsoft.com/office/drawing/2014/main" id="{88940BF3-8415-46A9-A488-0E55727594B1}"/>
            </a:ext>
          </a:extLst>
        </xdr:cNvPr>
        <xdr:cNvSpPr/>
      </xdr:nvSpPr>
      <xdr:spPr>
        <a:xfrm rot="10800000">
          <a:off x="14083837" y="21867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41</xdr:row>
      <xdr:rowOff>196272</xdr:rowOff>
    </xdr:from>
    <xdr:to>
      <xdr:col>10</xdr:col>
      <xdr:colOff>2320636</xdr:colOff>
      <xdr:row>41</xdr:row>
      <xdr:rowOff>346363</xdr:rowOff>
    </xdr:to>
    <xdr:sp macro="" textlink="">
      <xdr:nvSpPr>
        <xdr:cNvPr id="52" name="Isosceles Triangle 51">
          <a:extLst>
            <a:ext uri="{FF2B5EF4-FFF2-40B4-BE49-F238E27FC236}">
              <a16:creationId xmlns:a16="http://schemas.microsoft.com/office/drawing/2014/main" id="{87F2EA64-2DEA-4C0E-98A8-C0DC8510CB02}"/>
            </a:ext>
          </a:extLst>
        </xdr:cNvPr>
        <xdr:cNvSpPr/>
      </xdr:nvSpPr>
      <xdr:spPr>
        <a:xfrm rot="10800000">
          <a:off x="14083837" y="22439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43</xdr:row>
      <xdr:rowOff>196272</xdr:rowOff>
    </xdr:from>
    <xdr:to>
      <xdr:col>8</xdr:col>
      <xdr:colOff>2320636</xdr:colOff>
      <xdr:row>43</xdr:row>
      <xdr:rowOff>346363</xdr:rowOff>
    </xdr:to>
    <xdr:sp macro="" textlink="">
      <xdr:nvSpPr>
        <xdr:cNvPr id="53" name="Isosceles Triangle 52">
          <a:extLst>
            <a:ext uri="{FF2B5EF4-FFF2-40B4-BE49-F238E27FC236}">
              <a16:creationId xmlns:a16="http://schemas.microsoft.com/office/drawing/2014/main" id="{AA9C5307-F2E0-49D3-8F4B-CF4711CE5553}"/>
            </a:ext>
          </a:extLst>
        </xdr:cNvPr>
        <xdr:cNvSpPr/>
      </xdr:nvSpPr>
      <xdr:spPr>
        <a:xfrm rot="10800000">
          <a:off x="10616737" y="23582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44</xdr:row>
      <xdr:rowOff>196272</xdr:rowOff>
    </xdr:from>
    <xdr:to>
      <xdr:col>8</xdr:col>
      <xdr:colOff>2320636</xdr:colOff>
      <xdr:row>44</xdr:row>
      <xdr:rowOff>346363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40A93059-09D9-4AAE-97E6-CE966B5E607C}"/>
            </a:ext>
          </a:extLst>
        </xdr:cNvPr>
        <xdr:cNvSpPr/>
      </xdr:nvSpPr>
      <xdr:spPr>
        <a:xfrm rot="10800000">
          <a:off x="10616737" y="24153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45</xdr:row>
      <xdr:rowOff>196272</xdr:rowOff>
    </xdr:from>
    <xdr:to>
      <xdr:col>8</xdr:col>
      <xdr:colOff>2320636</xdr:colOff>
      <xdr:row>45</xdr:row>
      <xdr:rowOff>346363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111B50B0-574C-443C-937D-9A47DA79765C}"/>
            </a:ext>
          </a:extLst>
        </xdr:cNvPr>
        <xdr:cNvSpPr/>
      </xdr:nvSpPr>
      <xdr:spPr>
        <a:xfrm rot="10800000">
          <a:off x="10616737" y="24725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46</xdr:row>
      <xdr:rowOff>196272</xdr:rowOff>
    </xdr:from>
    <xdr:to>
      <xdr:col>8</xdr:col>
      <xdr:colOff>2320636</xdr:colOff>
      <xdr:row>46</xdr:row>
      <xdr:rowOff>346363</xdr:rowOff>
    </xdr:to>
    <xdr:sp macro="" textlink="">
      <xdr:nvSpPr>
        <xdr:cNvPr id="56" name="Isosceles Triangle 55">
          <a:extLst>
            <a:ext uri="{FF2B5EF4-FFF2-40B4-BE49-F238E27FC236}">
              <a16:creationId xmlns:a16="http://schemas.microsoft.com/office/drawing/2014/main" id="{65072FD6-2D27-4BEC-AA34-94944A7198F4}"/>
            </a:ext>
          </a:extLst>
        </xdr:cNvPr>
        <xdr:cNvSpPr/>
      </xdr:nvSpPr>
      <xdr:spPr>
        <a:xfrm rot="10800000">
          <a:off x="10616737" y="25296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47</xdr:row>
      <xdr:rowOff>196272</xdr:rowOff>
    </xdr:from>
    <xdr:to>
      <xdr:col>8</xdr:col>
      <xdr:colOff>2320636</xdr:colOff>
      <xdr:row>47</xdr:row>
      <xdr:rowOff>346363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0E9B7075-F8D3-46F9-B95C-B2F7F9CD1968}"/>
            </a:ext>
          </a:extLst>
        </xdr:cNvPr>
        <xdr:cNvSpPr/>
      </xdr:nvSpPr>
      <xdr:spPr>
        <a:xfrm rot="10800000">
          <a:off x="10616737" y="25868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43</xdr:row>
      <xdr:rowOff>196272</xdr:rowOff>
    </xdr:from>
    <xdr:to>
      <xdr:col>10</xdr:col>
      <xdr:colOff>2320636</xdr:colOff>
      <xdr:row>43</xdr:row>
      <xdr:rowOff>346363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463F49B7-9F82-471D-9D1D-944E44B04396}"/>
            </a:ext>
          </a:extLst>
        </xdr:cNvPr>
        <xdr:cNvSpPr/>
      </xdr:nvSpPr>
      <xdr:spPr>
        <a:xfrm rot="10800000">
          <a:off x="14083837" y="23582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44</xdr:row>
      <xdr:rowOff>196272</xdr:rowOff>
    </xdr:from>
    <xdr:to>
      <xdr:col>10</xdr:col>
      <xdr:colOff>2320636</xdr:colOff>
      <xdr:row>44</xdr:row>
      <xdr:rowOff>346363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163F0F7C-69B9-4267-A591-FA47E3F0C76E}"/>
            </a:ext>
          </a:extLst>
        </xdr:cNvPr>
        <xdr:cNvSpPr/>
      </xdr:nvSpPr>
      <xdr:spPr>
        <a:xfrm rot="10800000">
          <a:off x="14083837" y="24153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45</xdr:row>
      <xdr:rowOff>196272</xdr:rowOff>
    </xdr:from>
    <xdr:to>
      <xdr:col>10</xdr:col>
      <xdr:colOff>2320636</xdr:colOff>
      <xdr:row>45</xdr:row>
      <xdr:rowOff>346363</xdr:rowOff>
    </xdr:to>
    <xdr:sp macro="" textlink="">
      <xdr:nvSpPr>
        <xdr:cNvPr id="60" name="Isosceles Triangle 59">
          <a:extLst>
            <a:ext uri="{FF2B5EF4-FFF2-40B4-BE49-F238E27FC236}">
              <a16:creationId xmlns:a16="http://schemas.microsoft.com/office/drawing/2014/main" id="{E33CB627-8143-4831-B6FD-52E42F2A5CB5}"/>
            </a:ext>
          </a:extLst>
        </xdr:cNvPr>
        <xdr:cNvSpPr/>
      </xdr:nvSpPr>
      <xdr:spPr>
        <a:xfrm rot="10800000">
          <a:off x="14083837" y="24725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46</xdr:row>
      <xdr:rowOff>196272</xdr:rowOff>
    </xdr:from>
    <xdr:to>
      <xdr:col>10</xdr:col>
      <xdr:colOff>2320636</xdr:colOff>
      <xdr:row>46</xdr:row>
      <xdr:rowOff>346363</xdr:rowOff>
    </xdr:to>
    <xdr:sp macro="" textlink="">
      <xdr:nvSpPr>
        <xdr:cNvPr id="61" name="Isosceles Triangle 60">
          <a:extLst>
            <a:ext uri="{FF2B5EF4-FFF2-40B4-BE49-F238E27FC236}">
              <a16:creationId xmlns:a16="http://schemas.microsoft.com/office/drawing/2014/main" id="{0F8FBE44-C08B-40B0-B021-D9048E0673F6}"/>
            </a:ext>
          </a:extLst>
        </xdr:cNvPr>
        <xdr:cNvSpPr/>
      </xdr:nvSpPr>
      <xdr:spPr>
        <a:xfrm rot="10800000">
          <a:off x="14083837" y="25296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47</xdr:row>
      <xdr:rowOff>196272</xdr:rowOff>
    </xdr:from>
    <xdr:to>
      <xdr:col>10</xdr:col>
      <xdr:colOff>2320636</xdr:colOff>
      <xdr:row>47</xdr:row>
      <xdr:rowOff>346363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AB48E42C-9D8D-43E5-8F26-2B0350747A5E}"/>
            </a:ext>
          </a:extLst>
        </xdr:cNvPr>
        <xdr:cNvSpPr/>
      </xdr:nvSpPr>
      <xdr:spPr>
        <a:xfrm rot="10800000">
          <a:off x="14083837" y="25868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49</xdr:row>
      <xdr:rowOff>196272</xdr:rowOff>
    </xdr:from>
    <xdr:to>
      <xdr:col>8</xdr:col>
      <xdr:colOff>2320636</xdr:colOff>
      <xdr:row>49</xdr:row>
      <xdr:rowOff>346363</xdr:rowOff>
    </xdr:to>
    <xdr:sp macro="" textlink="">
      <xdr:nvSpPr>
        <xdr:cNvPr id="63" name="Isosceles Triangle 62">
          <a:extLst>
            <a:ext uri="{FF2B5EF4-FFF2-40B4-BE49-F238E27FC236}">
              <a16:creationId xmlns:a16="http://schemas.microsoft.com/office/drawing/2014/main" id="{5578DF48-C32F-4ABA-8F2D-D52FBFF4E1F9}"/>
            </a:ext>
          </a:extLst>
        </xdr:cNvPr>
        <xdr:cNvSpPr/>
      </xdr:nvSpPr>
      <xdr:spPr>
        <a:xfrm rot="10800000">
          <a:off x="10616737" y="27011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50</xdr:row>
      <xdr:rowOff>196272</xdr:rowOff>
    </xdr:from>
    <xdr:to>
      <xdr:col>8</xdr:col>
      <xdr:colOff>2320636</xdr:colOff>
      <xdr:row>50</xdr:row>
      <xdr:rowOff>346363</xdr:rowOff>
    </xdr:to>
    <xdr:sp macro="" textlink="">
      <xdr:nvSpPr>
        <xdr:cNvPr id="64" name="Isosceles Triangle 63">
          <a:extLst>
            <a:ext uri="{FF2B5EF4-FFF2-40B4-BE49-F238E27FC236}">
              <a16:creationId xmlns:a16="http://schemas.microsoft.com/office/drawing/2014/main" id="{22899835-67C9-4E78-990B-C8D812386ECE}"/>
            </a:ext>
          </a:extLst>
        </xdr:cNvPr>
        <xdr:cNvSpPr/>
      </xdr:nvSpPr>
      <xdr:spPr>
        <a:xfrm rot="10800000">
          <a:off x="10616737" y="27582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51</xdr:row>
      <xdr:rowOff>196272</xdr:rowOff>
    </xdr:from>
    <xdr:to>
      <xdr:col>8</xdr:col>
      <xdr:colOff>2320636</xdr:colOff>
      <xdr:row>51</xdr:row>
      <xdr:rowOff>346363</xdr:rowOff>
    </xdr:to>
    <xdr:sp macro="" textlink="">
      <xdr:nvSpPr>
        <xdr:cNvPr id="65" name="Isosceles Triangle 64">
          <a:extLst>
            <a:ext uri="{FF2B5EF4-FFF2-40B4-BE49-F238E27FC236}">
              <a16:creationId xmlns:a16="http://schemas.microsoft.com/office/drawing/2014/main" id="{2F44E1F8-BD01-4CC9-B586-DB14B5DB09CA}"/>
            </a:ext>
          </a:extLst>
        </xdr:cNvPr>
        <xdr:cNvSpPr/>
      </xdr:nvSpPr>
      <xdr:spPr>
        <a:xfrm rot="10800000">
          <a:off x="10616737" y="28154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52</xdr:row>
      <xdr:rowOff>196272</xdr:rowOff>
    </xdr:from>
    <xdr:to>
      <xdr:col>8</xdr:col>
      <xdr:colOff>2320636</xdr:colOff>
      <xdr:row>52</xdr:row>
      <xdr:rowOff>346363</xdr:rowOff>
    </xdr:to>
    <xdr:sp macro="" textlink="">
      <xdr:nvSpPr>
        <xdr:cNvPr id="66" name="Isosceles Triangle 65">
          <a:extLst>
            <a:ext uri="{FF2B5EF4-FFF2-40B4-BE49-F238E27FC236}">
              <a16:creationId xmlns:a16="http://schemas.microsoft.com/office/drawing/2014/main" id="{AEC7D261-551C-47EF-BDC4-A72E13967B69}"/>
            </a:ext>
          </a:extLst>
        </xdr:cNvPr>
        <xdr:cNvSpPr/>
      </xdr:nvSpPr>
      <xdr:spPr>
        <a:xfrm rot="10800000">
          <a:off x="10616737" y="28725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53</xdr:row>
      <xdr:rowOff>196272</xdr:rowOff>
    </xdr:from>
    <xdr:to>
      <xdr:col>8</xdr:col>
      <xdr:colOff>2320636</xdr:colOff>
      <xdr:row>53</xdr:row>
      <xdr:rowOff>346363</xdr:rowOff>
    </xdr:to>
    <xdr:sp macro="" textlink="">
      <xdr:nvSpPr>
        <xdr:cNvPr id="67" name="Isosceles Triangle 66">
          <a:extLst>
            <a:ext uri="{FF2B5EF4-FFF2-40B4-BE49-F238E27FC236}">
              <a16:creationId xmlns:a16="http://schemas.microsoft.com/office/drawing/2014/main" id="{A44AC532-6796-438B-91DE-E6198F37EA6E}"/>
            </a:ext>
          </a:extLst>
        </xdr:cNvPr>
        <xdr:cNvSpPr/>
      </xdr:nvSpPr>
      <xdr:spPr>
        <a:xfrm rot="10800000">
          <a:off x="10616737" y="29297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49</xdr:row>
      <xdr:rowOff>196272</xdr:rowOff>
    </xdr:from>
    <xdr:to>
      <xdr:col>10</xdr:col>
      <xdr:colOff>2320636</xdr:colOff>
      <xdr:row>49</xdr:row>
      <xdr:rowOff>346363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7BF3EE91-117E-4539-9126-5F172CC6BE3C}"/>
            </a:ext>
          </a:extLst>
        </xdr:cNvPr>
        <xdr:cNvSpPr/>
      </xdr:nvSpPr>
      <xdr:spPr>
        <a:xfrm rot="10800000">
          <a:off x="14083837" y="27011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50</xdr:row>
      <xdr:rowOff>196272</xdr:rowOff>
    </xdr:from>
    <xdr:to>
      <xdr:col>10</xdr:col>
      <xdr:colOff>2320636</xdr:colOff>
      <xdr:row>50</xdr:row>
      <xdr:rowOff>346363</xdr:rowOff>
    </xdr:to>
    <xdr:sp macro="" textlink="">
      <xdr:nvSpPr>
        <xdr:cNvPr id="69" name="Isosceles Triangle 68">
          <a:extLst>
            <a:ext uri="{FF2B5EF4-FFF2-40B4-BE49-F238E27FC236}">
              <a16:creationId xmlns:a16="http://schemas.microsoft.com/office/drawing/2014/main" id="{8B7BFF33-D821-42D5-9A88-77AAB3D20EDD}"/>
            </a:ext>
          </a:extLst>
        </xdr:cNvPr>
        <xdr:cNvSpPr/>
      </xdr:nvSpPr>
      <xdr:spPr>
        <a:xfrm rot="10800000">
          <a:off x="14083837" y="27582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51</xdr:row>
      <xdr:rowOff>196272</xdr:rowOff>
    </xdr:from>
    <xdr:to>
      <xdr:col>10</xdr:col>
      <xdr:colOff>2320636</xdr:colOff>
      <xdr:row>51</xdr:row>
      <xdr:rowOff>346363</xdr:rowOff>
    </xdr:to>
    <xdr:sp macro="" textlink="">
      <xdr:nvSpPr>
        <xdr:cNvPr id="70" name="Isosceles Triangle 69">
          <a:extLst>
            <a:ext uri="{FF2B5EF4-FFF2-40B4-BE49-F238E27FC236}">
              <a16:creationId xmlns:a16="http://schemas.microsoft.com/office/drawing/2014/main" id="{C9F096C3-2A79-4853-815D-4F8BB7843804}"/>
            </a:ext>
          </a:extLst>
        </xdr:cNvPr>
        <xdr:cNvSpPr/>
      </xdr:nvSpPr>
      <xdr:spPr>
        <a:xfrm rot="10800000">
          <a:off x="14083837" y="28154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52</xdr:row>
      <xdr:rowOff>196272</xdr:rowOff>
    </xdr:from>
    <xdr:to>
      <xdr:col>10</xdr:col>
      <xdr:colOff>2320636</xdr:colOff>
      <xdr:row>52</xdr:row>
      <xdr:rowOff>346363</xdr:rowOff>
    </xdr:to>
    <xdr:sp macro="" textlink="">
      <xdr:nvSpPr>
        <xdr:cNvPr id="71" name="Isosceles Triangle 70">
          <a:extLst>
            <a:ext uri="{FF2B5EF4-FFF2-40B4-BE49-F238E27FC236}">
              <a16:creationId xmlns:a16="http://schemas.microsoft.com/office/drawing/2014/main" id="{6CEE8BE3-4084-445B-A1B3-9BDE0D1DA6E2}"/>
            </a:ext>
          </a:extLst>
        </xdr:cNvPr>
        <xdr:cNvSpPr/>
      </xdr:nvSpPr>
      <xdr:spPr>
        <a:xfrm rot="10800000">
          <a:off x="14083837" y="28725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53</xdr:row>
      <xdr:rowOff>196272</xdr:rowOff>
    </xdr:from>
    <xdr:to>
      <xdr:col>10</xdr:col>
      <xdr:colOff>2320636</xdr:colOff>
      <xdr:row>53</xdr:row>
      <xdr:rowOff>346363</xdr:rowOff>
    </xdr:to>
    <xdr:sp macro="" textlink="">
      <xdr:nvSpPr>
        <xdr:cNvPr id="72" name="Isosceles Triangle 71">
          <a:extLst>
            <a:ext uri="{FF2B5EF4-FFF2-40B4-BE49-F238E27FC236}">
              <a16:creationId xmlns:a16="http://schemas.microsoft.com/office/drawing/2014/main" id="{4F65B4F5-38C0-4842-80B0-B122A02AF5E9}"/>
            </a:ext>
          </a:extLst>
        </xdr:cNvPr>
        <xdr:cNvSpPr/>
      </xdr:nvSpPr>
      <xdr:spPr>
        <a:xfrm rot="10800000">
          <a:off x="14083837" y="29297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139</xdr:row>
      <xdr:rowOff>196272</xdr:rowOff>
    </xdr:from>
    <xdr:to>
      <xdr:col>8</xdr:col>
      <xdr:colOff>2320636</xdr:colOff>
      <xdr:row>139</xdr:row>
      <xdr:rowOff>346363</xdr:rowOff>
    </xdr:to>
    <xdr:sp macro="" textlink="">
      <xdr:nvSpPr>
        <xdr:cNvPr id="103" name="Isosceles Triangle 102">
          <a:extLst>
            <a:ext uri="{FF2B5EF4-FFF2-40B4-BE49-F238E27FC236}">
              <a16:creationId xmlns:a16="http://schemas.microsoft.com/office/drawing/2014/main" id="{21557A92-60A8-458A-B7E3-1F83F10F16CF}"/>
            </a:ext>
          </a:extLst>
        </xdr:cNvPr>
        <xdr:cNvSpPr/>
      </xdr:nvSpPr>
      <xdr:spPr>
        <a:xfrm rot="10800000">
          <a:off x="10616737" y="78446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140</xdr:row>
      <xdr:rowOff>196272</xdr:rowOff>
    </xdr:from>
    <xdr:to>
      <xdr:col>8</xdr:col>
      <xdr:colOff>2320636</xdr:colOff>
      <xdr:row>140</xdr:row>
      <xdr:rowOff>346363</xdr:rowOff>
    </xdr:to>
    <xdr:sp macro="" textlink="">
      <xdr:nvSpPr>
        <xdr:cNvPr id="104" name="Isosceles Triangle 103">
          <a:extLst>
            <a:ext uri="{FF2B5EF4-FFF2-40B4-BE49-F238E27FC236}">
              <a16:creationId xmlns:a16="http://schemas.microsoft.com/office/drawing/2014/main" id="{D7BC9DFD-B6E2-443B-A1D9-649A9BBEA02C}"/>
            </a:ext>
          </a:extLst>
        </xdr:cNvPr>
        <xdr:cNvSpPr/>
      </xdr:nvSpPr>
      <xdr:spPr>
        <a:xfrm rot="10800000">
          <a:off x="10616737" y="79017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141</xdr:row>
      <xdr:rowOff>196272</xdr:rowOff>
    </xdr:from>
    <xdr:to>
      <xdr:col>8</xdr:col>
      <xdr:colOff>2320636</xdr:colOff>
      <xdr:row>141</xdr:row>
      <xdr:rowOff>346363</xdr:rowOff>
    </xdr:to>
    <xdr:sp macro="" textlink="">
      <xdr:nvSpPr>
        <xdr:cNvPr id="105" name="Isosceles Triangle 104">
          <a:extLst>
            <a:ext uri="{FF2B5EF4-FFF2-40B4-BE49-F238E27FC236}">
              <a16:creationId xmlns:a16="http://schemas.microsoft.com/office/drawing/2014/main" id="{7CF13395-5247-4080-BA93-8F192D23FAC2}"/>
            </a:ext>
          </a:extLst>
        </xdr:cNvPr>
        <xdr:cNvSpPr/>
      </xdr:nvSpPr>
      <xdr:spPr>
        <a:xfrm rot="10800000">
          <a:off x="10616737" y="79589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142</xdr:row>
      <xdr:rowOff>196272</xdr:rowOff>
    </xdr:from>
    <xdr:to>
      <xdr:col>8</xdr:col>
      <xdr:colOff>2320636</xdr:colOff>
      <xdr:row>142</xdr:row>
      <xdr:rowOff>346363</xdr:rowOff>
    </xdr:to>
    <xdr:sp macro="" textlink="">
      <xdr:nvSpPr>
        <xdr:cNvPr id="106" name="Isosceles Triangle 105">
          <a:extLst>
            <a:ext uri="{FF2B5EF4-FFF2-40B4-BE49-F238E27FC236}">
              <a16:creationId xmlns:a16="http://schemas.microsoft.com/office/drawing/2014/main" id="{61C3D9B9-B190-4E22-9458-260ED607C574}"/>
            </a:ext>
          </a:extLst>
        </xdr:cNvPr>
        <xdr:cNvSpPr/>
      </xdr:nvSpPr>
      <xdr:spPr>
        <a:xfrm rot="10800000">
          <a:off x="10616737" y="80160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143</xdr:row>
      <xdr:rowOff>196272</xdr:rowOff>
    </xdr:from>
    <xdr:to>
      <xdr:col>8</xdr:col>
      <xdr:colOff>2320636</xdr:colOff>
      <xdr:row>143</xdr:row>
      <xdr:rowOff>346363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D6EF5983-E5D0-4941-8376-DDB50F7DAB5C}"/>
            </a:ext>
          </a:extLst>
        </xdr:cNvPr>
        <xdr:cNvSpPr/>
      </xdr:nvSpPr>
      <xdr:spPr>
        <a:xfrm rot="10800000">
          <a:off x="10616737" y="80732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139</xdr:row>
      <xdr:rowOff>196272</xdr:rowOff>
    </xdr:from>
    <xdr:to>
      <xdr:col>10</xdr:col>
      <xdr:colOff>2320636</xdr:colOff>
      <xdr:row>139</xdr:row>
      <xdr:rowOff>346363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C4B97E0C-F0DC-48F8-9C8E-D7DA3A18E818}"/>
            </a:ext>
          </a:extLst>
        </xdr:cNvPr>
        <xdr:cNvSpPr/>
      </xdr:nvSpPr>
      <xdr:spPr>
        <a:xfrm rot="10800000">
          <a:off x="14083837" y="78446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140</xdr:row>
      <xdr:rowOff>196272</xdr:rowOff>
    </xdr:from>
    <xdr:to>
      <xdr:col>10</xdr:col>
      <xdr:colOff>2320636</xdr:colOff>
      <xdr:row>140</xdr:row>
      <xdr:rowOff>346363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10A5FADB-878F-4FFD-A09C-6676358EA552}"/>
            </a:ext>
          </a:extLst>
        </xdr:cNvPr>
        <xdr:cNvSpPr/>
      </xdr:nvSpPr>
      <xdr:spPr>
        <a:xfrm rot="10800000">
          <a:off x="14083837" y="79017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141</xdr:row>
      <xdr:rowOff>196272</xdr:rowOff>
    </xdr:from>
    <xdr:to>
      <xdr:col>10</xdr:col>
      <xdr:colOff>2320636</xdr:colOff>
      <xdr:row>141</xdr:row>
      <xdr:rowOff>346363</xdr:rowOff>
    </xdr:to>
    <xdr:sp macro="" textlink="">
      <xdr:nvSpPr>
        <xdr:cNvPr id="110" name="Isosceles Triangle 109">
          <a:extLst>
            <a:ext uri="{FF2B5EF4-FFF2-40B4-BE49-F238E27FC236}">
              <a16:creationId xmlns:a16="http://schemas.microsoft.com/office/drawing/2014/main" id="{361CFDC2-87CF-484C-B668-C5067A322405}"/>
            </a:ext>
          </a:extLst>
        </xdr:cNvPr>
        <xdr:cNvSpPr/>
      </xdr:nvSpPr>
      <xdr:spPr>
        <a:xfrm rot="10800000">
          <a:off x="14083837" y="79589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142</xdr:row>
      <xdr:rowOff>196272</xdr:rowOff>
    </xdr:from>
    <xdr:to>
      <xdr:col>10</xdr:col>
      <xdr:colOff>2320636</xdr:colOff>
      <xdr:row>142</xdr:row>
      <xdr:rowOff>346363</xdr:rowOff>
    </xdr:to>
    <xdr:sp macro="" textlink="">
      <xdr:nvSpPr>
        <xdr:cNvPr id="111" name="Isosceles Triangle 110">
          <a:extLst>
            <a:ext uri="{FF2B5EF4-FFF2-40B4-BE49-F238E27FC236}">
              <a16:creationId xmlns:a16="http://schemas.microsoft.com/office/drawing/2014/main" id="{B447B322-6BEE-4A44-9836-40489059F73C}"/>
            </a:ext>
          </a:extLst>
        </xdr:cNvPr>
        <xdr:cNvSpPr/>
      </xdr:nvSpPr>
      <xdr:spPr>
        <a:xfrm rot="10800000">
          <a:off x="14083837" y="80160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143</xdr:row>
      <xdr:rowOff>196272</xdr:rowOff>
    </xdr:from>
    <xdr:to>
      <xdr:col>10</xdr:col>
      <xdr:colOff>2320636</xdr:colOff>
      <xdr:row>143</xdr:row>
      <xdr:rowOff>346363</xdr:rowOff>
    </xdr:to>
    <xdr:sp macro="" textlink="">
      <xdr:nvSpPr>
        <xdr:cNvPr id="112" name="Isosceles Triangle 111">
          <a:extLst>
            <a:ext uri="{FF2B5EF4-FFF2-40B4-BE49-F238E27FC236}">
              <a16:creationId xmlns:a16="http://schemas.microsoft.com/office/drawing/2014/main" id="{4C19871C-A533-46A0-A7CB-2C63CACC649F}"/>
            </a:ext>
          </a:extLst>
        </xdr:cNvPr>
        <xdr:cNvSpPr/>
      </xdr:nvSpPr>
      <xdr:spPr>
        <a:xfrm rot="10800000">
          <a:off x="14083837" y="80732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133</xdr:row>
      <xdr:rowOff>196272</xdr:rowOff>
    </xdr:from>
    <xdr:to>
      <xdr:col>8</xdr:col>
      <xdr:colOff>2320636</xdr:colOff>
      <xdr:row>133</xdr:row>
      <xdr:rowOff>346363</xdr:rowOff>
    </xdr:to>
    <xdr:sp macro="" textlink="">
      <xdr:nvSpPr>
        <xdr:cNvPr id="113" name="Isosceles Triangle 112">
          <a:extLst>
            <a:ext uri="{FF2B5EF4-FFF2-40B4-BE49-F238E27FC236}">
              <a16:creationId xmlns:a16="http://schemas.microsoft.com/office/drawing/2014/main" id="{8DC2274F-5AFF-4F40-9B24-C5B2A2BAC2D6}"/>
            </a:ext>
          </a:extLst>
        </xdr:cNvPr>
        <xdr:cNvSpPr/>
      </xdr:nvSpPr>
      <xdr:spPr>
        <a:xfrm rot="10800000">
          <a:off x="10616737" y="75017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134</xdr:row>
      <xdr:rowOff>196272</xdr:rowOff>
    </xdr:from>
    <xdr:to>
      <xdr:col>8</xdr:col>
      <xdr:colOff>2320636</xdr:colOff>
      <xdr:row>134</xdr:row>
      <xdr:rowOff>346363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227CEE57-955E-4CFF-8885-74E3B110B373}"/>
            </a:ext>
          </a:extLst>
        </xdr:cNvPr>
        <xdr:cNvSpPr/>
      </xdr:nvSpPr>
      <xdr:spPr>
        <a:xfrm rot="10800000">
          <a:off x="10616737" y="75588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135</xdr:row>
      <xdr:rowOff>196272</xdr:rowOff>
    </xdr:from>
    <xdr:to>
      <xdr:col>8</xdr:col>
      <xdr:colOff>2320636</xdr:colOff>
      <xdr:row>135</xdr:row>
      <xdr:rowOff>346363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175B4B1A-24B5-4CA6-8FD4-98267F2AE7A7}"/>
            </a:ext>
          </a:extLst>
        </xdr:cNvPr>
        <xdr:cNvSpPr/>
      </xdr:nvSpPr>
      <xdr:spPr>
        <a:xfrm rot="10800000">
          <a:off x="10616737" y="76160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136</xdr:row>
      <xdr:rowOff>196272</xdr:rowOff>
    </xdr:from>
    <xdr:to>
      <xdr:col>8</xdr:col>
      <xdr:colOff>2320636</xdr:colOff>
      <xdr:row>136</xdr:row>
      <xdr:rowOff>346363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7F23028F-2E79-4FB1-A0C8-6959A224ED0C}"/>
            </a:ext>
          </a:extLst>
        </xdr:cNvPr>
        <xdr:cNvSpPr/>
      </xdr:nvSpPr>
      <xdr:spPr>
        <a:xfrm rot="10800000">
          <a:off x="10616737" y="76731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137</xdr:row>
      <xdr:rowOff>196272</xdr:rowOff>
    </xdr:from>
    <xdr:to>
      <xdr:col>8</xdr:col>
      <xdr:colOff>2320636</xdr:colOff>
      <xdr:row>137</xdr:row>
      <xdr:rowOff>346363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id="{1595E245-2C17-4F05-9614-ADFCC9EBB9F8}"/>
            </a:ext>
          </a:extLst>
        </xdr:cNvPr>
        <xdr:cNvSpPr/>
      </xdr:nvSpPr>
      <xdr:spPr>
        <a:xfrm rot="10800000">
          <a:off x="10616737" y="77303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133</xdr:row>
      <xdr:rowOff>196272</xdr:rowOff>
    </xdr:from>
    <xdr:to>
      <xdr:col>10</xdr:col>
      <xdr:colOff>2320636</xdr:colOff>
      <xdr:row>133</xdr:row>
      <xdr:rowOff>346363</xdr:rowOff>
    </xdr:to>
    <xdr:sp macro="" textlink="">
      <xdr:nvSpPr>
        <xdr:cNvPr id="118" name="Isosceles Triangle 117">
          <a:extLst>
            <a:ext uri="{FF2B5EF4-FFF2-40B4-BE49-F238E27FC236}">
              <a16:creationId xmlns:a16="http://schemas.microsoft.com/office/drawing/2014/main" id="{56573EA1-583B-4D15-BA8A-D931390E8611}"/>
            </a:ext>
          </a:extLst>
        </xdr:cNvPr>
        <xdr:cNvSpPr/>
      </xdr:nvSpPr>
      <xdr:spPr>
        <a:xfrm rot="10800000">
          <a:off x="14083837" y="75017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134</xdr:row>
      <xdr:rowOff>196272</xdr:rowOff>
    </xdr:from>
    <xdr:to>
      <xdr:col>10</xdr:col>
      <xdr:colOff>2320636</xdr:colOff>
      <xdr:row>134</xdr:row>
      <xdr:rowOff>346363</xdr:rowOff>
    </xdr:to>
    <xdr:sp macro="" textlink="">
      <xdr:nvSpPr>
        <xdr:cNvPr id="119" name="Isosceles Triangle 118">
          <a:extLst>
            <a:ext uri="{FF2B5EF4-FFF2-40B4-BE49-F238E27FC236}">
              <a16:creationId xmlns:a16="http://schemas.microsoft.com/office/drawing/2014/main" id="{EE20CD1E-B297-482E-988E-B8388C645482}"/>
            </a:ext>
          </a:extLst>
        </xdr:cNvPr>
        <xdr:cNvSpPr/>
      </xdr:nvSpPr>
      <xdr:spPr>
        <a:xfrm rot="10800000">
          <a:off x="14083837" y="75588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120" name="Isosceles Triangle 119">
          <a:extLst>
            <a:ext uri="{FF2B5EF4-FFF2-40B4-BE49-F238E27FC236}">
              <a16:creationId xmlns:a16="http://schemas.microsoft.com/office/drawing/2014/main" id="{95308A44-1E21-435C-8BE0-0935EB06EC7E}"/>
            </a:ext>
          </a:extLst>
        </xdr:cNvPr>
        <xdr:cNvSpPr/>
      </xdr:nvSpPr>
      <xdr:spPr>
        <a:xfrm rot="10800000">
          <a:off x="14083837" y="76160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136</xdr:row>
      <xdr:rowOff>196272</xdr:rowOff>
    </xdr:from>
    <xdr:to>
      <xdr:col>10</xdr:col>
      <xdr:colOff>2320636</xdr:colOff>
      <xdr:row>136</xdr:row>
      <xdr:rowOff>346363</xdr:rowOff>
    </xdr:to>
    <xdr:sp macro="" textlink="">
      <xdr:nvSpPr>
        <xdr:cNvPr id="121" name="Isosceles Triangle 120">
          <a:extLst>
            <a:ext uri="{FF2B5EF4-FFF2-40B4-BE49-F238E27FC236}">
              <a16:creationId xmlns:a16="http://schemas.microsoft.com/office/drawing/2014/main" id="{140B3CFE-C912-42BC-AB78-40B2BE3AF97E}"/>
            </a:ext>
          </a:extLst>
        </xdr:cNvPr>
        <xdr:cNvSpPr/>
      </xdr:nvSpPr>
      <xdr:spPr>
        <a:xfrm rot="10800000">
          <a:off x="14083837" y="76731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137</xdr:row>
      <xdr:rowOff>196272</xdr:rowOff>
    </xdr:from>
    <xdr:to>
      <xdr:col>10</xdr:col>
      <xdr:colOff>2320636</xdr:colOff>
      <xdr:row>137</xdr:row>
      <xdr:rowOff>346363</xdr:rowOff>
    </xdr:to>
    <xdr:sp macro="" textlink="">
      <xdr:nvSpPr>
        <xdr:cNvPr id="122" name="Isosceles Triangle 121">
          <a:extLst>
            <a:ext uri="{FF2B5EF4-FFF2-40B4-BE49-F238E27FC236}">
              <a16:creationId xmlns:a16="http://schemas.microsoft.com/office/drawing/2014/main" id="{F764D615-9DDE-4066-BCAC-0E98907E70D9}"/>
            </a:ext>
          </a:extLst>
        </xdr:cNvPr>
        <xdr:cNvSpPr/>
      </xdr:nvSpPr>
      <xdr:spPr>
        <a:xfrm rot="10800000">
          <a:off x="14083837" y="77303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127</xdr:row>
      <xdr:rowOff>196272</xdr:rowOff>
    </xdr:from>
    <xdr:to>
      <xdr:col>8</xdr:col>
      <xdr:colOff>2320636</xdr:colOff>
      <xdr:row>127</xdr:row>
      <xdr:rowOff>346363</xdr:rowOff>
    </xdr:to>
    <xdr:sp macro="" textlink="">
      <xdr:nvSpPr>
        <xdr:cNvPr id="123" name="Isosceles Triangle 122">
          <a:extLst>
            <a:ext uri="{FF2B5EF4-FFF2-40B4-BE49-F238E27FC236}">
              <a16:creationId xmlns:a16="http://schemas.microsoft.com/office/drawing/2014/main" id="{AC87C0D7-D221-4328-99D3-1B4962B9813C}"/>
            </a:ext>
          </a:extLst>
        </xdr:cNvPr>
        <xdr:cNvSpPr/>
      </xdr:nvSpPr>
      <xdr:spPr>
        <a:xfrm rot="10800000">
          <a:off x="10616737" y="71588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128</xdr:row>
      <xdr:rowOff>196272</xdr:rowOff>
    </xdr:from>
    <xdr:to>
      <xdr:col>8</xdr:col>
      <xdr:colOff>2320636</xdr:colOff>
      <xdr:row>128</xdr:row>
      <xdr:rowOff>346363</xdr:rowOff>
    </xdr:to>
    <xdr:sp macro="" textlink="">
      <xdr:nvSpPr>
        <xdr:cNvPr id="124" name="Isosceles Triangle 123">
          <a:extLst>
            <a:ext uri="{FF2B5EF4-FFF2-40B4-BE49-F238E27FC236}">
              <a16:creationId xmlns:a16="http://schemas.microsoft.com/office/drawing/2014/main" id="{EDDCB930-4FF5-4D76-A331-840787BBFBB8}"/>
            </a:ext>
          </a:extLst>
        </xdr:cNvPr>
        <xdr:cNvSpPr/>
      </xdr:nvSpPr>
      <xdr:spPr>
        <a:xfrm rot="10800000">
          <a:off x="10616737" y="72159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129</xdr:row>
      <xdr:rowOff>196272</xdr:rowOff>
    </xdr:from>
    <xdr:to>
      <xdr:col>8</xdr:col>
      <xdr:colOff>2320636</xdr:colOff>
      <xdr:row>129</xdr:row>
      <xdr:rowOff>346363</xdr:rowOff>
    </xdr:to>
    <xdr:sp macro="" textlink="">
      <xdr:nvSpPr>
        <xdr:cNvPr id="125" name="Isosceles Triangle 124">
          <a:extLst>
            <a:ext uri="{FF2B5EF4-FFF2-40B4-BE49-F238E27FC236}">
              <a16:creationId xmlns:a16="http://schemas.microsoft.com/office/drawing/2014/main" id="{140544DD-FA49-4BAC-B03C-B81A4BD1CA82}"/>
            </a:ext>
          </a:extLst>
        </xdr:cNvPr>
        <xdr:cNvSpPr/>
      </xdr:nvSpPr>
      <xdr:spPr>
        <a:xfrm rot="10800000">
          <a:off x="10616737" y="72731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130</xdr:row>
      <xdr:rowOff>196272</xdr:rowOff>
    </xdr:from>
    <xdr:to>
      <xdr:col>8</xdr:col>
      <xdr:colOff>2320636</xdr:colOff>
      <xdr:row>130</xdr:row>
      <xdr:rowOff>346363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581CA30E-F4EB-47A0-991B-F767187CCECC}"/>
            </a:ext>
          </a:extLst>
        </xdr:cNvPr>
        <xdr:cNvSpPr/>
      </xdr:nvSpPr>
      <xdr:spPr>
        <a:xfrm rot="10800000">
          <a:off x="10616737" y="73302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131</xdr:row>
      <xdr:rowOff>196272</xdr:rowOff>
    </xdr:from>
    <xdr:to>
      <xdr:col>8</xdr:col>
      <xdr:colOff>2320636</xdr:colOff>
      <xdr:row>131</xdr:row>
      <xdr:rowOff>346363</xdr:rowOff>
    </xdr:to>
    <xdr:sp macro="" textlink="">
      <xdr:nvSpPr>
        <xdr:cNvPr id="127" name="Isosceles Triangle 126">
          <a:extLst>
            <a:ext uri="{FF2B5EF4-FFF2-40B4-BE49-F238E27FC236}">
              <a16:creationId xmlns:a16="http://schemas.microsoft.com/office/drawing/2014/main" id="{5EDF4FE5-C2BA-418A-B6D9-403B76D574A4}"/>
            </a:ext>
          </a:extLst>
        </xdr:cNvPr>
        <xdr:cNvSpPr/>
      </xdr:nvSpPr>
      <xdr:spPr>
        <a:xfrm rot="10800000">
          <a:off x="10616737" y="73874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127</xdr:row>
      <xdr:rowOff>196272</xdr:rowOff>
    </xdr:from>
    <xdr:to>
      <xdr:col>10</xdr:col>
      <xdr:colOff>2320636</xdr:colOff>
      <xdr:row>127</xdr:row>
      <xdr:rowOff>346363</xdr:rowOff>
    </xdr:to>
    <xdr:sp macro="" textlink="">
      <xdr:nvSpPr>
        <xdr:cNvPr id="128" name="Isosceles Triangle 127">
          <a:extLst>
            <a:ext uri="{FF2B5EF4-FFF2-40B4-BE49-F238E27FC236}">
              <a16:creationId xmlns:a16="http://schemas.microsoft.com/office/drawing/2014/main" id="{73D014F9-A837-4DB6-B9C7-3E1016CD624D}"/>
            </a:ext>
          </a:extLst>
        </xdr:cNvPr>
        <xdr:cNvSpPr/>
      </xdr:nvSpPr>
      <xdr:spPr>
        <a:xfrm rot="10800000">
          <a:off x="14083837" y="71588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47DABDD1-A65C-44DD-843C-96691591ACAB}"/>
            </a:ext>
          </a:extLst>
        </xdr:cNvPr>
        <xdr:cNvSpPr/>
      </xdr:nvSpPr>
      <xdr:spPr>
        <a:xfrm rot="10800000">
          <a:off x="14083837" y="72159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EDFAC0DD-D079-4557-AFB9-2AA4B4932A74}"/>
            </a:ext>
          </a:extLst>
        </xdr:cNvPr>
        <xdr:cNvSpPr/>
      </xdr:nvSpPr>
      <xdr:spPr>
        <a:xfrm rot="10800000">
          <a:off x="14083837" y="72731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31" name="Isosceles Triangle 130">
          <a:extLst>
            <a:ext uri="{FF2B5EF4-FFF2-40B4-BE49-F238E27FC236}">
              <a16:creationId xmlns:a16="http://schemas.microsoft.com/office/drawing/2014/main" id="{DFDEAB6F-E25A-4AA3-973D-A978202ED369}"/>
            </a:ext>
          </a:extLst>
        </xdr:cNvPr>
        <xdr:cNvSpPr/>
      </xdr:nvSpPr>
      <xdr:spPr>
        <a:xfrm rot="10800000">
          <a:off x="14083837" y="73302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131</xdr:row>
      <xdr:rowOff>196272</xdr:rowOff>
    </xdr:from>
    <xdr:to>
      <xdr:col>10</xdr:col>
      <xdr:colOff>2320636</xdr:colOff>
      <xdr:row>131</xdr:row>
      <xdr:rowOff>346363</xdr:rowOff>
    </xdr:to>
    <xdr:sp macro="" textlink="">
      <xdr:nvSpPr>
        <xdr:cNvPr id="132" name="Isosceles Triangle 131">
          <a:extLst>
            <a:ext uri="{FF2B5EF4-FFF2-40B4-BE49-F238E27FC236}">
              <a16:creationId xmlns:a16="http://schemas.microsoft.com/office/drawing/2014/main" id="{0965F4EA-C2CB-4AAF-B91E-7D2EF11A204A}"/>
            </a:ext>
          </a:extLst>
        </xdr:cNvPr>
        <xdr:cNvSpPr/>
      </xdr:nvSpPr>
      <xdr:spPr>
        <a:xfrm rot="10800000">
          <a:off x="14083837" y="73874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121</xdr:row>
      <xdr:rowOff>196272</xdr:rowOff>
    </xdr:from>
    <xdr:to>
      <xdr:col>8</xdr:col>
      <xdr:colOff>2320636</xdr:colOff>
      <xdr:row>121</xdr:row>
      <xdr:rowOff>346363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29C2E928-F7CF-4D85-AB8E-3EF363238078}"/>
            </a:ext>
          </a:extLst>
        </xdr:cNvPr>
        <xdr:cNvSpPr/>
      </xdr:nvSpPr>
      <xdr:spPr>
        <a:xfrm rot="10800000">
          <a:off x="10616737" y="68159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122</xdr:row>
      <xdr:rowOff>196272</xdr:rowOff>
    </xdr:from>
    <xdr:to>
      <xdr:col>8</xdr:col>
      <xdr:colOff>2320636</xdr:colOff>
      <xdr:row>122</xdr:row>
      <xdr:rowOff>346363</xdr:rowOff>
    </xdr:to>
    <xdr:sp macro="" textlink="">
      <xdr:nvSpPr>
        <xdr:cNvPr id="134" name="Isosceles Triangle 133">
          <a:extLst>
            <a:ext uri="{FF2B5EF4-FFF2-40B4-BE49-F238E27FC236}">
              <a16:creationId xmlns:a16="http://schemas.microsoft.com/office/drawing/2014/main" id="{9BA041C3-0AE4-47A9-A868-9F0AEF177AC5}"/>
            </a:ext>
          </a:extLst>
        </xdr:cNvPr>
        <xdr:cNvSpPr/>
      </xdr:nvSpPr>
      <xdr:spPr>
        <a:xfrm rot="10800000">
          <a:off x="10616737" y="68730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123</xdr:row>
      <xdr:rowOff>196272</xdr:rowOff>
    </xdr:from>
    <xdr:to>
      <xdr:col>8</xdr:col>
      <xdr:colOff>2320636</xdr:colOff>
      <xdr:row>123</xdr:row>
      <xdr:rowOff>346363</xdr:rowOff>
    </xdr:to>
    <xdr:sp macro="" textlink="">
      <xdr:nvSpPr>
        <xdr:cNvPr id="135" name="Isosceles Triangle 134">
          <a:extLst>
            <a:ext uri="{FF2B5EF4-FFF2-40B4-BE49-F238E27FC236}">
              <a16:creationId xmlns:a16="http://schemas.microsoft.com/office/drawing/2014/main" id="{9C3CE7D3-7C77-4F14-B458-84A2E129E3B7}"/>
            </a:ext>
          </a:extLst>
        </xdr:cNvPr>
        <xdr:cNvSpPr/>
      </xdr:nvSpPr>
      <xdr:spPr>
        <a:xfrm rot="10800000">
          <a:off x="10616737" y="69302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124</xdr:row>
      <xdr:rowOff>196272</xdr:rowOff>
    </xdr:from>
    <xdr:to>
      <xdr:col>8</xdr:col>
      <xdr:colOff>2320636</xdr:colOff>
      <xdr:row>124</xdr:row>
      <xdr:rowOff>346363</xdr:rowOff>
    </xdr:to>
    <xdr:sp macro="" textlink="">
      <xdr:nvSpPr>
        <xdr:cNvPr id="136" name="Isosceles Triangle 135">
          <a:extLst>
            <a:ext uri="{FF2B5EF4-FFF2-40B4-BE49-F238E27FC236}">
              <a16:creationId xmlns:a16="http://schemas.microsoft.com/office/drawing/2014/main" id="{0734B60D-5AF4-4B6A-9E9D-03C7270F8BA7}"/>
            </a:ext>
          </a:extLst>
        </xdr:cNvPr>
        <xdr:cNvSpPr/>
      </xdr:nvSpPr>
      <xdr:spPr>
        <a:xfrm rot="10800000">
          <a:off x="10616737" y="69873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125</xdr:row>
      <xdr:rowOff>196272</xdr:rowOff>
    </xdr:from>
    <xdr:to>
      <xdr:col>8</xdr:col>
      <xdr:colOff>2320636</xdr:colOff>
      <xdr:row>125</xdr:row>
      <xdr:rowOff>346363</xdr:rowOff>
    </xdr:to>
    <xdr:sp macro="" textlink="">
      <xdr:nvSpPr>
        <xdr:cNvPr id="137" name="Isosceles Triangle 136">
          <a:extLst>
            <a:ext uri="{FF2B5EF4-FFF2-40B4-BE49-F238E27FC236}">
              <a16:creationId xmlns:a16="http://schemas.microsoft.com/office/drawing/2014/main" id="{368F2625-463E-42E3-99F9-75C21C23D95D}"/>
            </a:ext>
          </a:extLst>
        </xdr:cNvPr>
        <xdr:cNvSpPr/>
      </xdr:nvSpPr>
      <xdr:spPr>
        <a:xfrm rot="10800000">
          <a:off x="10616737" y="70445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121</xdr:row>
      <xdr:rowOff>196272</xdr:rowOff>
    </xdr:from>
    <xdr:to>
      <xdr:col>10</xdr:col>
      <xdr:colOff>2320636</xdr:colOff>
      <xdr:row>121</xdr:row>
      <xdr:rowOff>346363</xdr:rowOff>
    </xdr:to>
    <xdr:sp macro="" textlink="">
      <xdr:nvSpPr>
        <xdr:cNvPr id="138" name="Isosceles Triangle 137">
          <a:extLst>
            <a:ext uri="{FF2B5EF4-FFF2-40B4-BE49-F238E27FC236}">
              <a16:creationId xmlns:a16="http://schemas.microsoft.com/office/drawing/2014/main" id="{F5893638-7BC9-473D-9483-E9ACD2650478}"/>
            </a:ext>
          </a:extLst>
        </xdr:cNvPr>
        <xdr:cNvSpPr/>
      </xdr:nvSpPr>
      <xdr:spPr>
        <a:xfrm rot="10800000">
          <a:off x="14083837" y="68159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122</xdr:row>
      <xdr:rowOff>196272</xdr:rowOff>
    </xdr:from>
    <xdr:to>
      <xdr:col>10</xdr:col>
      <xdr:colOff>2320636</xdr:colOff>
      <xdr:row>122</xdr:row>
      <xdr:rowOff>346363</xdr:rowOff>
    </xdr:to>
    <xdr:sp macro="" textlink="">
      <xdr:nvSpPr>
        <xdr:cNvPr id="139" name="Isosceles Triangle 138">
          <a:extLst>
            <a:ext uri="{FF2B5EF4-FFF2-40B4-BE49-F238E27FC236}">
              <a16:creationId xmlns:a16="http://schemas.microsoft.com/office/drawing/2014/main" id="{4BFB0233-265E-4934-8C6C-22F4CEFB9D30}"/>
            </a:ext>
          </a:extLst>
        </xdr:cNvPr>
        <xdr:cNvSpPr/>
      </xdr:nvSpPr>
      <xdr:spPr>
        <a:xfrm rot="10800000">
          <a:off x="14083837" y="68730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123</xdr:row>
      <xdr:rowOff>196272</xdr:rowOff>
    </xdr:from>
    <xdr:to>
      <xdr:col>10</xdr:col>
      <xdr:colOff>2320636</xdr:colOff>
      <xdr:row>123</xdr:row>
      <xdr:rowOff>346363</xdr:rowOff>
    </xdr:to>
    <xdr:sp macro="" textlink="">
      <xdr:nvSpPr>
        <xdr:cNvPr id="140" name="Isosceles Triangle 139">
          <a:extLst>
            <a:ext uri="{FF2B5EF4-FFF2-40B4-BE49-F238E27FC236}">
              <a16:creationId xmlns:a16="http://schemas.microsoft.com/office/drawing/2014/main" id="{1AEE0CDD-F431-4670-BCD3-1777AEAB07E8}"/>
            </a:ext>
          </a:extLst>
        </xdr:cNvPr>
        <xdr:cNvSpPr/>
      </xdr:nvSpPr>
      <xdr:spPr>
        <a:xfrm rot="10800000">
          <a:off x="14083837" y="69302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124</xdr:row>
      <xdr:rowOff>196272</xdr:rowOff>
    </xdr:from>
    <xdr:to>
      <xdr:col>10</xdr:col>
      <xdr:colOff>2320636</xdr:colOff>
      <xdr:row>124</xdr:row>
      <xdr:rowOff>346363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203C8911-9C91-40C6-A894-AC1238562988}"/>
            </a:ext>
          </a:extLst>
        </xdr:cNvPr>
        <xdr:cNvSpPr/>
      </xdr:nvSpPr>
      <xdr:spPr>
        <a:xfrm rot="10800000">
          <a:off x="14083837" y="69873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142" name="Isosceles Triangle 141">
          <a:extLst>
            <a:ext uri="{FF2B5EF4-FFF2-40B4-BE49-F238E27FC236}">
              <a16:creationId xmlns:a16="http://schemas.microsoft.com/office/drawing/2014/main" id="{07BA312B-263C-4E34-A40B-20F189361656}"/>
            </a:ext>
          </a:extLst>
        </xdr:cNvPr>
        <xdr:cNvSpPr/>
      </xdr:nvSpPr>
      <xdr:spPr>
        <a:xfrm rot="10800000">
          <a:off x="14083837" y="70445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115</xdr:row>
      <xdr:rowOff>196272</xdr:rowOff>
    </xdr:from>
    <xdr:to>
      <xdr:col>8</xdr:col>
      <xdr:colOff>2320636</xdr:colOff>
      <xdr:row>115</xdr:row>
      <xdr:rowOff>346363</xdr:rowOff>
    </xdr:to>
    <xdr:sp macro="" textlink="">
      <xdr:nvSpPr>
        <xdr:cNvPr id="143" name="Isosceles Triangle 142">
          <a:extLst>
            <a:ext uri="{FF2B5EF4-FFF2-40B4-BE49-F238E27FC236}">
              <a16:creationId xmlns:a16="http://schemas.microsoft.com/office/drawing/2014/main" id="{39DFFE5D-DCCF-4A4D-8961-CEBD4FC13E2E}"/>
            </a:ext>
          </a:extLst>
        </xdr:cNvPr>
        <xdr:cNvSpPr/>
      </xdr:nvSpPr>
      <xdr:spPr>
        <a:xfrm rot="10800000">
          <a:off x="10616737" y="64730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116</xdr:row>
      <xdr:rowOff>196272</xdr:rowOff>
    </xdr:from>
    <xdr:to>
      <xdr:col>8</xdr:col>
      <xdr:colOff>2320636</xdr:colOff>
      <xdr:row>116</xdr:row>
      <xdr:rowOff>346363</xdr:rowOff>
    </xdr:to>
    <xdr:sp macro="" textlink="">
      <xdr:nvSpPr>
        <xdr:cNvPr id="144" name="Isosceles Triangle 143">
          <a:extLst>
            <a:ext uri="{FF2B5EF4-FFF2-40B4-BE49-F238E27FC236}">
              <a16:creationId xmlns:a16="http://schemas.microsoft.com/office/drawing/2014/main" id="{35510C8B-1AF4-4119-9EB7-1B45561435D5}"/>
            </a:ext>
          </a:extLst>
        </xdr:cNvPr>
        <xdr:cNvSpPr/>
      </xdr:nvSpPr>
      <xdr:spPr>
        <a:xfrm rot="10800000">
          <a:off x="10616737" y="65301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117</xdr:row>
      <xdr:rowOff>196272</xdr:rowOff>
    </xdr:from>
    <xdr:to>
      <xdr:col>8</xdr:col>
      <xdr:colOff>2320636</xdr:colOff>
      <xdr:row>117</xdr:row>
      <xdr:rowOff>346363</xdr:rowOff>
    </xdr:to>
    <xdr:sp macro="" textlink="">
      <xdr:nvSpPr>
        <xdr:cNvPr id="145" name="Isosceles Triangle 144">
          <a:extLst>
            <a:ext uri="{FF2B5EF4-FFF2-40B4-BE49-F238E27FC236}">
              <a16:creationId xmlns:a16="http://schemas.microsoft.com/office/drawing/2014/main" id="{DA4057A7-B018-41A8-8BC5-F07B8C4E9E44}"/>
            </a:ext>
          </a:extLst>
        </xdr:cNvPr>
        <xdr:cNvSpPr/>
      </xdr:nvSpPr>
      <xdr:spPr>
        <a:xfrm rot="10800000">
          <a:off x="10616737" y="65873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118</xdr:row>
      <xdr:rowOff>196272</xdr:rowOff>
    </xdr:from>
    <xdr:to>
      <xdr:col>8</xdr:col>
      <xdr:colOff>2320636</xdr:colOff>
      <xdr:row>118</xdr:row>
      <xdr:rowOff>346363</xdr:rowOff>
    </xdr:to>
    <xdr:sp macro="" textlink="">
      <xdr:nvSpPr>
        <xdr:cNvPr id="146" name="Isosceles Triangle 145">
          <a:extLst>
            <a:ext uri="{FF2B5EF4-FFF2-40B4-BE49-F238E27FC236}">
              <a16:creationId xmlns:a16="http://schemas.microsoft.com/office/drawing/2014/main" id="{D5ABC6EE-A303-4578-9CC9-4CCDC965877C}"/>
            </a:ext>
          </a:extLst>
        </xdr:cNvPr>
        <xdr:cNvSpPr/>
      </xdr:nvSpPr>
      <xdr:spPr>
        <a:xfrm rot="10800000">
          <a:off x="10616737" y="66444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119</xdr:row>
      <xdr:rowOff>196272</xdr:rowOff>
    </xdr:from>
    <xdr:to>
      <xdr:col>8</xdr:col>
      <xdr:colOff>2320636</xdr:colOff>
      <xdr:row>119</xdr:row>
      <xdr:rowOff>346363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418CDBA3-1801-497D-A325-5F25532BC25D}"/>
            </a:ext>
          </a:extLst>
        </xdr:cNvPr>
        <xdr:cNvSpPr/>
      </xdr:nvSpPr>
      <xdr:spPr>
        <a:xfrm rot="10800000">
          <a:off x="10616737" y="67016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115</xdr:row>
      <xdr:rowOff>196272</xdr:rowOff>
    </xdr:from>
    <xdr:to>
      <xdr:col>10</xdr:col>
      <xdr:colOff>2320636</xdr:colOff>
      <xdr:row>115</xdr:row>
      <xdr:rowOff>346363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A87D1DEA-3FD7-4107-96CD-7DCFF4907646}"/>
            </a:ext>
          </a:extLst>
        </xdr:cNvPr>
        <xdr:cNvSpPr/>
      </xdr:nvSpPr>
      <xdr:spPr>
        <a:xfrm rot="10800000">
          <a:off x="14083837" y="64730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116</xdr:row>
      <xdr:rowOff>196272</xdr:rowOff>
    </xdr:from>
    <xdr:to>
      <xdr:col>10</xdr:col>
      <xdr:colOff>2320636</xdr:colOff>
      <xdr:row>116</xdr:row>
      <xdr:rowOff>346363</xdr:rowOff>
    </xdr:to>
    <xdr:sp macro="" textlink="">
      <xdr:nvSpPr>
        <xdr:cNvPr id="149" name="Isosceles Triangle 148">
          <a:extLst>
            <a:ext uri="{FF2B5EF4-FFF2-40B4-BE49-F238E27FC236}">
              <a16:creationId xmlns:a16="http://schemas.microsoft.com/office/drawing/2014/main" id="{40FDDE4E-14B5-403D-86ED-0730B9966F05}"/>
            </a:ext>
          </a:extLst>
        </xdr:cNvPr>
        <xdr:cNvSpPr/>
      </xdr:nvSpPr>
      <xdr:spPr>
        <a:xfrm rot="10800000">
          <a:off x="14083837" y="65301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117</xdr:row>
      <xdr:rowOff>196272</xdr:rowOff>
    </xdr:from>
    <xdr:to>
      <xdr:col>10</xdr:col>
      <xdr:colOff>2320636</xdr:colOff>
      <xdr:row>117</xdr:row>
      <xdr:rowOff>346363</xdr:rowOff>
    </xdr:to>
    <xdr:sp macro="" textlink="">
      <xdr:nvSpPr>
        <xdr:cNvPr id="150" name="Isosceles Triangle 149">
          <a:extLst>
            <a:ext uri="{FF2B5EF4-FFF2-40B4-BE49-F238E27FC236}">
              <a16:creationId xmlns:a16="http://schemas.microsoft.com/office/drawing/2014/main" id="{398163DE-AF8F-4798-8FFE-CC2BE789BFA0}"/>
            </a:ext>
          </a:extLst>
        </xdr:cNvPr>
        <xdr:cNvSpPr/>
      </xdr:nvSpPr>
      <xdr:spPr>
        <a:xfrm rot="10800000">
          <a:off x="14083837" y="65873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118</xdr:row>
      <xdr:rowOff>196272</xdr:rowOff>
    </xdr:from>
    <xdr:to>
      <xdr:col>10</xdr:col>
      <xdr:colOff>2320636</xdr:colOff>
      <xdr:row>118</xdr:row>
      <xdr:rowOff>346363</xdr:rowOff>
    </xdr:to>
    <xdr:sp macro="" textlink="">
      <xdr:nvSpPr>
        <xdr:cNvPr id="151" name="Isosceles Triangle 150">
          <a:extLst>
            <a:ext uri="{FF2B5EF4-FFF2-40B4-BE49-F238E27FC236}">
              <a16:creationId xmlns:a16="http://schemas.microsoft.com/office/drawing/2014/main" id="{C9FEF968-5CBE-4189-A5C0-0C8681EECB37}"/>
            </a:ext>
          </a:extLst>
        </xdr:cNvPr>
        <xdr:cNvSpPr/>
      </xdr:nvSpPr>
      <xdr:spPr>
        <a:xfrm rot="10800000">
          <a:off x="14083837" y="66444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119</xdr:row>
      <xdr:rowOff>196272</xdr:rowOff>
    </xdr:from>
    <xdr:to>
      <xdr:col>10</xdr:col>
      <xdr:colOff>2320636</xdr:colOff>
      <xdr:row>119</xdr:row>
      <xdr:rowOff>346363</xdr:rowOff>
    </xdr:to>
    <xdr:sp macro="" textlink="">
      <xdr:nvSpPr>
        <xdr:cNvPr id="152" name="Isosceles Triangle 151">
          <a:extLst>
            <a:ext uri="{FF2B5EF4-FFF2-40B4-BE49-F238E27FC236}">
              <a16:creationId xmlns:a16="http://schemas.microsoft.com/office/drawing/2014/main" id="{C48E18FD-F9AF-49FA-908D-6AB0FBB76965}"/>
            </a:ext>
          </a:extLst>
        </xdr:cNvPr>
        <xdr:cNvSpPr/>
      </xdr:nvSpPr>
      <xdr:spPr>
        <a:xfrm rot="10800000">
          <a:off x="14083837" y="67016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109</xdr:row>
      <xdr:rowOff>196272</xdr:rowOff>
    </xdr:from>
    <xdr:to>
      <xdr:col>8</xdr:col>
      <xdr:colOff>2320636</xdr:colOff>
      <xdr:row>109</xdr:row>
      <xdr:rowOff>346363</xdr:rowOff>
    </xdr:to>
    <xdr:sp macro="" textlink="">
      <xdr:nvSpPr>
        <xdr:cNvPr id="153" name="Isosceles Triangle 152">
          <a:extLst>
            <a:ext uri="{FF2B5EF4-FFF2-40B4-BE49-F238E27FC236}">
              <a16:creationId xmlns:a16="http://schemas.microsoft.com/office/drawing/2014/main" id="{E340945C-A2FC-4E48-A5BA-35B11EE72E50}"/>
            </a:ext>
          </a:extLst>
        </xdr:cNvPr>
        <xdr:cNvSpPr/>
      </xdr:nvSpPr>
      <xdr:spPr>
        <a:xfrm rot="10800000">
          <a:off x="10616737" y="61301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110</xdr:row>
      <xdr:rowOff>196272</xdr:rowOff>
    </xdr:from>
    <xdr:to>
      <xdr:col>8</xdr:col>
      <xdr:colOff>2320636</xdr:colOff>
      <xdr:row>110</xdr:row>
      <xdr:rowOff>346363</xdr:rowOff>
    </xdr:to>
    <xdr:sp macro="" textlink="">
      <xdr:nvSpPr>
        <xdr:cNvPr id="154" name="Isosceles Triangle 153">
          <a:extLst>
            <a:ext uri="{FF2B5EF4-FFF2-40B4-BE49-F238E27FC236}">
              <a16:creationId xmlns:a16="http://schemas.microsoft.com/office/drawing/2014/main" id="{9B7CDDE3-A2AF-41FD-8A94-A024D218C705}"/>
            </a:ext>
          </a:extLst>
        </xdr:cNvPr>
        <xdr:cNvSpPr/>
      </xdr:nvSpPr>
      <xdr:spPr>
        <a:xfrm rot="10800000">
          <a:off x="10616737" y="61872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111</xdr:row>
      <xdr:rowOff>196272</xdr:rowOff>
    </xdr:from>
    <xdr:to>
      <xdr:col>8</xdr:col>
      <xdr:colOff>2320636</xdr:colOff>
      <xdr:row>111</xdr:row>
      <xdr:rowOff>346363</xdr:rowOff>
    </xdr:to>
    <xdr:sp macro="" textlink="">
      <xdr:nvSpPr>
        <xdr:cNvPr id="155" name="Isosceles Triangle 154">
          <a:extLst>
            <a:ext uri="{FF2B5EF4-FFF2-40B4-BE49-F238E27FC236}">
              <a16:creationId xmlns:a16="http://schemas.microsoft.com/office/drawing/2014/main" id="{2BA6FC0D-D417-46DF-8F34-3686EBDB71A5}"/>
            </a:ext>
          </a:extLst>
        </xdr:cNvPr>
        <xdr:cNvSpPr/>
      </xdr:nvSpPr>
      <xdr:spPr>
        <a:xfrm rot="10800000">
          <a:off x="10616737" y="62444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112</xdr:row>
      <xdr:rowOff>196272</xdr:rowOff>
    </xdr:from>
    <xdr:to>
      <xdr:col>8</xdr:col>
      <xdr:colOff>2320636</xdr:colOff>
      <xdr:row>112</xdr:row>
      <xdr:rowOff>346363</xdr:rowOff>
    </xdr:to>
    <xdr:sp macro="" textlink="">
      <xdr:nvSpPr>
        <xdr:cNvPr id="156" name="Isosceles Triangle 155">
          <a:extLst>
            <a:ext uri="{FF2B5EF4-FFF2-40B4-BE49-F238E27FC236}">
              <a16:creationId xmlns:a16="http://schemas.microsoft.com/office/drawing/2014/main" id="{0028ACB0-C2B4-46DE-82E0-4C4007DC2E1A}"/>
            </a:ext>
          </a:extLst>
        </xdr:cNvPr>
        <xdr:cNvSpPr/>
      </xdr:nvSpPr>
      <xdr:spPr>
        <a:xfrm rot="10800000">
          <a:off x="10616737" y="63015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113</xdr:row>
      <xdr:rowOff>196272</xdr:rowOff>
    </xdr:from>
    <xdr:to>
      <xdr:col>8</xdr:col>
      <xdr:colOff>2320636</xdr:colOff>
      <xdr:row>113</xdr:row>
      <xdr:rowOff>346363</xdr:rowOff>
    </xdr:to>
    <xdr:sp macro="" textlink="">
      <xdr:nvSpPr>
        <xdr:cNvPr id="157" name="Isosceles Triangle 156">
          <a:extLst>
            <a:ext uri="{FF2B5EF4-FFF2-40B4-BE49-F238E27FC236}">
              <a16:creationId xmlns:a16="http://schemas.microsoft.com/office/drawing/2014/main" id="{1EDD5DE1-56FC-41E2-9980-F6A019FE439B}"/>
            </a:ext>
          </a:extLst>
        </xdr:cNvPr>
        <xdr:cNvSpPr/>
      </xdr:nvSpPr>
      <xdr:spPr>
        <a:xfrm rot="10800000">
          <a:off x="10616737" y="63587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109</xdr:row>
      <xdr:rowOff>196272</xdr:rowOff>
    </xdr:from>
    <xdr:to>
      <xdr:col>10</xdr:col>
      <xdr:colOff>2320636</xdr:colOff>
      <xdr:row>109</xdr:row>
      <xdr:rowOff>346363</xdr:rowOff>
    </xdr:to>
    <xdr:sp macro="" textlink="">
      <xdr:nvSpPr>
        <xdr:cNvPr id="158" name="Isosceles Triangle 157">
          <a:extLst>
            <a:ext uri="{FF2B5EF4-FFF2-40B4-BE49-F238E27FC236}">
              <a16:creationId xmlns:a16="http://schemas.microsoft.com/office/drawing/2014/main" id="{6FB8E780-A0A0-4340-8150-97AC171C44C1}"/>
            </a:ext>
          </a:extLst>
        </xdr:cNvPr>
        <xdr:cNvSpPr/>
      </xdr:nvSpPr>
      <xdr:spPr>
        <a:xfrm rot="10800000">
          <a:off x="14083837" y="61301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110</xdr:row>
      <xdr:rowOff>196272</xdr:rowOff>
    </xdr:from>
    <xdr:to>
      <xdr:col>10</xdr:col>
      <xdr:colOff>2320636</xdr:colOff>
      <xdr:row>110</xdr:row>
      <xdr:rowOff>346363</xdr:rowOff>
    </xdr:to>
    <xdr:sp macro="" textlink="">
      <xdr:nvSpPr>
        <xdr:cNvPr id="159" name="Isosceles Triangle 158">
          <a:extLst>
            <a:ext uri="{FF2B5EF4-FFF2-40B4-BE49-F238E27FC236}">
              <a16:creationId xmlns:a16="http://schemas.microsoft.com/office/drawing/2014/main" id="{DF879167-0818-474F-8CC3-81C3BE793635}"/>
            </a:ext>
          </a:extLst>
        </xdr:cNvPr>
        <xdr:cNvSpPr/>
      </xdr:nvSpPr>
      <xdr:spPr>
        <a:xfrm rot="10800000">
          <a:off x="14083837" y="61872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111</xdr:row>
      <xdr:rowOff>196272</xdr:rowOff>
    </xdr:from>
    <xdr:to>
      <xdr:col>10</xdr:col>
      <xdr:colOff>2320636</xdr:colOff>
      <xdr:row>111</xdr:row>
      <xdr:rowOff>346363</xdr:rowOff>
    </xdr:to>
    <xdr:sp macro="" textlink="">
      <xdr:nvSpPr>
        <xdr:cNvPr id="160" name="Isosceles Triangle 159">
          <a:extLst>
            <a:ext uri="{FF2B5EF4-FFF2-40B4-BE49-F238E27FC236}">
              <a16:creationId xmlns:a16="http://schemas.microsoft.com/office/drawing/2014/main" id="{B345719E-5AFA-4A46-AD91-31EA6D1A9578}"/>
            </a:ext>
          </a:extLst>
        </xdr:cNvPr>
        <xdr:cNvSpPr/>
      </xdr:nvSpPr>
      <xdr:spPr>
        <a:xfrm rot="10800000">
          <a:off x="14083837" y="62444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112</xdr:row>
      <xdr:rowOff>196272</xdr:rowOff>
    </xdr:from>
    <xdr:to>
      <xdr:col>10</xdr:col>
      <xdr:colOff>2320636</xdr:colOff>
      <xdr:row>112</xdr:row>
      <xdr:rowOff>346363</xdr:rowOff>
    </xdr:to>
    <xdr:sp macro="" textlink="">
      <xdr:nvSpPr>
        <xdr:cNvPr id="161" name="Isosceles Triangle 160">
          <a:extLst>
            <a:ext uri="{FF2B5EF4-FFF2-40B4-BE49-F238E27FC236}">
              <a16:creationId xmlns:a16="http://schemas.microsoft.com/office/drawing/2014/main" id="{A48EC22A-B337-4911-A38F-34F02172C09B}"/>
            </a:ext>
          </a:extLst>
        </xdr:cNvPr>
        <xdr:cNvSpPr/>
      </xdr:nvSpPr>
      <xdr:spPr>
        <a:xfrm rot="10800000">
          <a:off x="14083837" y="63015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162" name="Isosceles Triangle 161">
          <a:extLst>
            <a:ext uri="{FF2B5EF4-FFF2-40B4-BE49-F238E27FC236}">
              <a16:creationId xmlns:a16="http://schemas.microsoft.com/office/drawing/2014/main" id="{5D1994AA-57E6-4FEC-942A-F408DAA97292}"/>
            </a:ext>
          </a:extLst>
        </xdr:cNvPr>
        <xdr:cNvSpPr/>
      </xdr:nvSpPr>
      <xdr:spPr>
        <a:xfrm rot="10800000">
          <a:off x="14083837" y="63587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103</xdr:row>
      <xdr:rowOff>196272</xdr:rowOff>
    </xdr:from>
    <xdr:to>
      <xdr:col>8</xdr:col>
      <xdr:colOff>2320636</xdr:colOff>
      <xdr:row>103</xdr:row>
      <xdr:rowOff>346363</xdr:rowOff>
    </xdr:to>
    <xdr:sp macro="" textlink="">
      <xdr:nvSpPr>
        <xdr:cNvPr id="163" name="Isosceles Triangle 162">
          <a:extLst>
            <a:ext uri="{FF2B5EF4-FFF2-40B4-BE49-F238E27FC236}">
              <a16:creationId xmlns:a16="http://schemas.microsoft.com/office/drawing/2014/main" id="{9D50011E-AC27-4F1E-A12D-451B078BFF39}"/>
            </a:ext>
          </a:extLst>
        </xdr:cNvPr>
        <xdr:cNvSpPr/>
      </xdr:nvSpPr>
      <xdr:spPr>
        <a:xfrm rot="10800000">
          <a:off x="10616737" y="57872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104</xdr:row>
      <xdr:rowOff>196272</xdr:rowOff>
    </xdr:from>
    <xdr:to>
      <xdr:col>8</xdr:col>
      <xdr:colOff>2320636</xdr:colOff>
      <xdr:row>104</xdr:row>
      <xdr:rowOff>346363</xdr:rowOff>
    </xdr:to>
    <xdr:sp macro="" textlink="">
      <xdr:nvSpPr>
        <xdr:cNvPr id="164" name="Isosceles Triangle 163">
          <a:extLst>
            <a:ext uri="{FF2B5EF4-FFF2-40B4-BE49-F238E27FC236}">
              <a16:creationId xmlns:a16="http://schemas.microsoft.com/office/drawing/2014/main" id="{DCDF805B-E972-4F05-9C21-3C5E8D797C96}"/>
            </a:ext>
          </a:extLst>
        </xdr:cNvPr>
        <xdr:cNvSpPr/>
      </xdr:nvSpPr>
      <xdr:spPr>
        <a:xfrm rot="10800000">
          <a:off x="10616737" y="58443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105</xdr:row>
      <xdr:rowOff>196272</xdr:rowOff>
    </xdr:from>
    <xdr:to>
      <xdr:col>8</xdr:col>
      <xdr:colOff>2320636</xdr:colOff>
      <xdr:row>105</xdr:row>
      <xdr:rowOff>346363</xdr:rowOff>
    </xdr:to>
    <xdr:sp macro="" textlink="">
      <xdr:nvSpPr>
        <xdr:cNvPr id="165" name="Isosceles Triangle 164">
          <a:extLst>
            <a:ext uri="{FF2B5EF4-FFF2-40B4-BE49-F238E27FC236}">
              <a16:creationId xmlns:a16="http://schemas.microsoft.com/office/drawing/2014/main" id="{BD2C2B8A-3958-4E17-BEC9-5A44207B7D69}"/>
            </a:ext>
          </a:extLst>
        </xdr:cNvPr>
        <xdr:cNvSpPr/>
      </xdr:nvSpPr>
      <xdr:spPr>
        <a:xfrm rot="10800000">
          <a:off x="10616737" y="59015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106</xdr:row>
      <xdr:rowOff>196272</xdr:rowOff>
    </xdr:from>
    <xdr:to>
      <xdr:col>8</xdr:col>
      <xdr:colOff>2320636</xdr:colOff>
      <xdr:row>106</xdr:row>
      <xdr:rowOff>346363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5D3F8ED3-797B-4A32-9169-4AF0259A0576}"/>
            </a:ext>
          </a:extLst>
        </xdr:cNvPr>
        <xdr:cNvSpPr/>
      </xdr:nvSpPr>
      <xdr:spPr>
        <a:xfrm rot="10800000">
          <a:off x="10616737" y="59586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107</xdr:row>
      <xdr:rowOff>196272</xdr:rowOff>
    </xdr:from>
    <xdr:to>
      <xdr:col>8</xdr:col>
      <xdr:colOff>2320636</xdr:colOff>
      <xdr:row>107</xdr:row>
      <xdr:rowOff>346363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7B57F9D0-14EA-4BD9-AE39-707DC07C74C7}"/>
            </a:ext>
          </a:extLst>
        </xdr:cNvPr>
        <xdr:cNvSpPr/>
      </xdr:nvSpPr>
      <xdr:spPr>
        <a:xfrm rot="10800000">
          <a:off x="10616737" y="60158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68" name="Isosceles Triangle 167">
          <a:extLst>
            <a:ext uri="{FF2B5EF4-FFF2-40B4-BE49-F238E27FC236}">
              <a16:creationId xmlns:a16="http://schemas.microsoft.com/office/drawing/2014/main" id="{93B474FE-9F5E-459C-84E2-32A20A833215}"/>
            </a:ext>
          </a:extLst>
        </xdr:cNvPr>
        <xdr:cNvSpPr/>
      </xdr:nvSpPr>
      <xdr:spPr>
        <a:xfrm rot="10800000">
          <a:off x="14083837" y="57872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9" name="Isosceles Triangle 168">
          <a:extLst>
            <a:ext uri="{FF2B5EF4-FFF2-40B4-BE49-F238E27FC236}">
              <a16:creationId xmlns:a16="http://schemas.microsoft.com/office/drawing/2014/main" id="{A767AA9E-5C83-4DD6-BD62-E7D130756F3A}"/>
            </a:ext>
          </a:extLst>
        </xdr:cNvPr>
        <xdr:cNvSpPr/>
      </xdr:nvSpPr>
      <xdr:spPr>
        <a:xfrm rot="10800000">
          <a:off x="14083837" y="58443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75D7CCE7-51AF-449C-8831-D8DD9D112600}"/>
            </a:ext>
          </a:extLst>
        </xdr:cNvPr>
        <xdr:cNvSpPr/>
      </xdr:nvSpPr>
      <xdr:spPr>
        <a:xfrm rot="10800000">
          <a:off x="14083837" y="59015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71" name="Isosceles Triangle 170">
          <a:extLst>
            <a:ext uri="{FF2B5EF4-FFF2-40B4-BE49-F238E27FC236}">
              <a16:creationId xmlns:a16="http://schemas.microsoft.com/office/drawing/2014/main" id="{F020DB3C-7296-4D66-A558-3139B3B82601}"/>
            </a:ext>
          </a:extLst>
        </xdr:cNvPr>
        <xdr:cNvSpPr/>
      </xdr:nvSpPr>
      <xdr:spPr>
        <a:xfrm rot="10800000">
          <a:off x="14083837" y="59586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107</xdr:row>
      <xdr:rowOff>196272</xdr:rowOff>
    </xdr:from>
    <xdr:to>
      <xdr:col>10</xdr:col>
      <xdr:colOff>2320636</xdr:colOff>
      <xdr:row>107</xdr:row>
      <xdr:rowOff>346363</xdr:rowOff>
    </xdr:to>
    <xdr:sp macro="" textlink="">
      <xdr:nvSpPr>
        <xdr:cNvPr id="172" name="Isosceles Triangle 171">
          <a:extLst>
            <a:ext uri="{FF2B5EF4-FFF2-40B4-BE49-F238E27FC236}">
              <a16:creationId xmlns:a16="http://schemas.microsoft.com/office/drawing/2014/main" id="{1E14214D-97BE-4929-BC64-0B6E328C56BA}"/>
            </a:ext>
          </a:extLst>
        </xdr:cNvPr>
        <xdr:cNvSpPr/>
      </xdr:nvSpPr>
      <xdr:spPr>
        <a:xfrm rot="10800000">
          <a:off x="14083837" y="60158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97</xdr:row>
      <xdr:rowOff>196272</xdr:rowOff>
    </xdr:from>
    <xdr:to>
      <xdr:col>8</xdr:col>
      <xdr:colOff>2320636</xdr:colOff>
      <xdr:row>97</xdr:row>
      <xdr:rowOff>346363</xdr:rowOff>
    </xdr:to>
    <xdr:sp macro="" textlink="">
      <xdr:nvSpPr>
        <xdr:cNvPr id="173" name="Isosceles Triangle 172">
          <a:extLst>
            <a:ext uri="{FF2B5EF4-FFF2-40B4-BE49-F238E27FC236}">
              <a16:creationId xmlns:a16="http://schemas.microsoft.com/office/drawing/2014/main" id="{65DB5F0B-EE69-4B6B-8B3B-821D6D7CF694}"/>
            </a:ext>
          </a:extLst>
        </xdr:cNvPr>
        <xdr:cNvSpPr/>
      </xdr:nvSpPr>
      <xdr:spPr>
        <a:xfrm rot="10800000">
          <a:off x="10616737" y="54443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98</xdr:row>
      <xdr:rowOff>196272</xdr:rowOff>
    </xdr:from>
    <xdr:to>
      <xdr:col>8</xdr:col>
      <xdr:colOff>2320636</xdr:colOff>
      <xdr:row>98</xdr:row>
      <xdr:rowOff>346363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A3D47D9-897F-426C-914A-28BFC0CEDD07}"/>
            </a:ext>
          </a:extLst>
        </xdr:cNvPr>
        <xdr:cNvSpPr/>
      </xdr:nvSpPr>
      <xdr:spPr>
        <a:xfrm rot="10800000">
          <a:off x="10616737" y="55014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99</xdr:row>
      <xdr:rowOff>196272</xdr:rowOff>
    </xdr:from>
    <xdr:to>
      <xdr:col>8</xdr:col>
      <xdr:colOff>2320636</xdr:colOff>
      <xdr:row>99</xdr:row>
      <xdr:rowOff>346363</xdr:rowOff>
    </xdr:to>
    <xdr:sp macro="" textlink="">
      <xdr:nvSpPr>
        <xdr:cNvPr id="175" name="Isosceles Triangle 174">
          <a:extLst>
            <a:ext uri="{FF2B5EF4-FFF2-40B4-BE49-F238E27FC236}">
              <a16:creationId xmlns:a16="http://schemas.microsoft.com/office/drawing/2014/main" id="{49C758CF-D703-4969-9208-0DE9D6230103}"/>
            </a:ext>
          </a:extLst>
        </xdr:cNvPr>
        <xdr:cNvSpPr/>
      </xdr:nvSpPr>
      <xdr:spPr>
        <a:xfrm rot="10800000">
          <a:off x="10616737" y="55586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100</xdr:row>
      <xdr:rowOff>196272</xdr:rowOff>
    </xdr:from>
    <xdr:to>
      <xdr:col>8</xdr:col>
      <xdr:colOff>2320636</xdr:colOff>
      <xdr:row>100</xdr:row>
      <xdr:rowOff>346363</xdr:rowOff>
    </xdr:to>
    <xdr:sp macro="" textlink="">
      <xdr:nvSpPr>
        <xdr:cNvPr id="176" name="Isosceles Triangle 175">
          <a:extLst>
            <a:ext uri="{FF2B5EF4-FFF2-40B4-BE49-F238E27FC236}">
              <a16:creationId xmlns:a16="http://schemas.microsoft.com/office/drawing/2014/main" id="{39061F01-6A23-4265-87D3-30B659E9EE96}"/>
            </a:ext>
          </a:extLst>
        </xdr:cNvPr>
        <xdr:cNvSpPr/>
      </xdr:nvSpPr>
      <xdr:spPr>
        <a:xfrm rot="10800000">
          <a:off x="10616737" y="56157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101</xdr:row>
      <xdr:rowOff>196272</xdr:rowOff>
    </xdr:from>
    <xdr:to>
      <xdr:col>8</xdr:col>
      <xdr:colOff>2320636</xdr:colOff>
      <xdr:row>101</xdr:row>
      <xdr:rowOff>346363</xdr:rowOff>
    </xdr:to>
    <xdr:sp macro="" textlink="">
      <xdr:nvSpPr>
        <xdr:cNvPr id="177" name="Isosceles Triangle 176">
          <a:extLst>
            <a:ext uri="{FF2B5EF4-FFF2-40B4-BE49-F238E27FC236}">
              <a16:creationId xmlns:a16="http://schemas.microsoft.com/office/drawing/2014/main" id="{593F43AA-FEF8-474B-B8EA-212480326C2C}"/>
            </a:ext>
          </a:extLst>
        </xdr:cNvPr>
        <xdr:cNvSpPr/>
      </xdr:nvSpPr>
      <xdr:spPr>
        <a:xfrm rot="10800000">
          <a:off x="10616737" y="56729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97</xdr:row>
      <xdr:rowOff>196272</xdr:rowOff>
    </xdr:from>
    <xdr:to>
      <xdr:col>10</xdr:col>
      <xdr:colOff>2320636</xdr:colOff>
      <xdr:row>97</xdr:row>
      <xdr:rowOff>346363</xdr:rowOff>
    </xdr:to>
    <xdr:sp macro="" textlink="">
      <xdr:nvSpPr>
        <xdr:cNvPr id="178" name="Isosceles Triangle 177">
          <a:extLst>
            <a:ext uri="{FF2B5EF4-FFF2-40B4-BE49-F238E27FC236}">
              <a16:creationId xmlns:a16="http://schemas.microsoft.com/office/drawing/2014/main" id="{780D9724-23D0-44FF-85EB-B043FBAFD97F}"/>
            </a:ext>
          </a:extLst>
        </xdr:cNvPr>
        <xdr:cNvSpPr/>
      </xdr:nvSpPr>
      <xdr:spPr>
        <a:xfrm rot="10800000">
          <a:off x="14083837" y="54443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179" name="Isosceles Triangle 178">
          <a:extLst>
            <a:ext uri="{FF2B5EF4-FFF2-40B4-BE49-F238E27FC236}">
              <a16:creationId xmlns:a16="http://schemas.microsoft.com/office/drawing/2014/main" id="{C65532D0-5D89-4ED4-9CB8-435021866C6A}"/>
            </a:ext>
          </a:extLst>
        </xdr:cNvPr>
        <xdr:cNvSpPr/>
      </xdr:nvSpPr>
      <xdr:spPr>
        <a:xfrm rot="10800000">
          <a:off x="14083837" y="55014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99</xdr:row>
      <xdr:rowOff>196272</xdr:rowOff>
    </xdr:from>
    <xdr:to>
      <xdr:col>10</xdr:col>
      <xdr:colOff>2320636</xdr:colOff>
      <xdr:row>99</xdr:row>
      <xdr:rowOff>346363</xdr:rowOff>
    </xdr:to>
    <xdr:sp macro="" textlink="">
      <xdr:nvSpPr>
        <xdr:cNvPr id="180" name="Isosceles Triangle 179">
          <a:extLst>
            <a:ext uri="{FF2B5EF4-FFF2-40B4-BE49-F238E27FC236}">
              <a16:creationId xmlns:a16="http://schemas.microsoft.com/office/drawing/2014/main" id="{D7AF8997-3395-4C70-A113-A80059E28AD4}"/>
            </a:ext>
          </a:extLst>
        </xdr:cNvPr>
        <xdr:cNvSpPr/>
      </xdr:nvSpPr>
      <xdr:spPr>
        <a:xfrm rot="10800000">
          <a:off x="14083837" y="55586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81" name="Isosceles Triangle 180">
          <a:extLst>
            <a:ext uri="{FF2B5EF4-FFF2-40B4-BE49-F238E27FC236}">
              <a16:creationId xmlns:a16="http://schemas.microsoft.com/office/drawing/2014/main" id="{49F162F0-8363-4620-BCCD-19DA08A09812}"/>
            </a:ext>
          </a:extLst>
        </xdr:cNvPr>
        <xdr:cNvSpPr/>
      </xdr:nvSpPr>
      <xdr:spPr>
        <a:xfrm rot="10800000">
          <a:off x="14083837" y="56157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101</xdr:row>
      <xdr:rowOff>196272</xdr:rowOff>
    </xdr:from>
    <xdr:to>
      <xdr:col>10</xdr:col>
      <xdr:colOff>2320636</xdr:colOff>
      <xdr:row>101</xdr:row>
      <xdr:rowOff>346363</xdr:rowOff>
    </xdr:to>
    <xdr:sp macro="" textlink="">
      <xdr:nvSpPr>
        <xdr:cNvPr id="182" name="Isosceles Triangle 181">
          <a:extLst>
            <a:ext uri="{FF2B5EF4-FFF2-40B4-BE49-F238E27FC236}">
              <a16:creationId xmlns:a16="http://schemas.microsoft.com/office/drawing/2014/main" id="{4188D150-1633-4632-AC8B-1AD0F69EAFB7}"/>
            </a:ext>
          </a:extLst>
        </xdr:cNvPr>
        <xdr:cNvSpPr/>
      </xdr:nvSpPr>
      <xdr:spPr>
        <a:xfrm rot="10800000">
          <a:off x="14083837" y="56729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91</xdr:row>
      <xdr:rowOff>196272</xdr:rowOff>
    </xdr:from>
    <xdr:to>
      <xdr:col>8</xdr:col>
      <xdr:colOff>2320636</xdr:colOff>
      <xdr:row>91</xdr:row>
      <xdr:rowOff>346363</xdr:rowOff>
    </xdr:to>
    <xdr:sp macro="" textlink="">
      <xdr:nvSpPr>
        <xdr:cNvPr id="183" name="Isosceles Triangle 182">
          <a:extLst>
            <a:ext uri="{FF2B5EF4-FFF2-40B4-BE49-F238E27FC236}">
              <a16:creationId xmlns:a16="http://schemas.microsoft.com/office/drawing/2014/main" id="{49E6F206-B69B-49B8-8AD0-13087058F520}"/>
            </a:ext>
          </a:extLst>
        </xdr:cNvPr>
        <xdr:cNvSpPr/>
      </xdr:nvSpPr>
      <xdr:spPr>
        <a:xfrm rot="10800000">
          <a:off x="10616737" y="51014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184" name="Isosceles Triangle 183">
          <a:extLst>
            <a:ext uri="{FF2B5EF4-FFF2-40B4-BE49-F238E27FC236}">
              <a16:creationId xmlns:a16="http://schemas.microsoft.com/office/drawing/2014/main" id="{87B75209-4DBF-4161-BBA9-0879D639AB19}"/>
            </a:ext>
          </a:extLst>
        </xdr:cNvPr>
        <xdr:cNvSpPr/>
      </xdr:nvSpPr>
      <xdr:spPr>
        <a:xfrm rot="10800000">
          <a:off x="10616737" y="51585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93</xdr:row>
      <xdr:rowOff>196272</xdr:rowOff>
    </xdr:from>
    <xdr:to>
      <xdr:col>8</xdr:col>
      <xdr:colOff>2320636</xdr:colOff>
      <xdr:row>93</xdr:row>
      <xdr:rowOff>346363</xdr:rowOff>
    </xdr:to>
    <xdr:sp macro="" textlink="">
      <xdr:nvSpPr>
        <xdr:cNvPr id="185" name="Isosceles Triangle 184">
          <a:extLst>
            <a:ext uri="{FF2B5EF4-FFF2-40B4-BE49-F238E27FC236}">
              <a16:creationId xmlns:a16="http://schemas.microsoft.com/office/drawing/2014/main" id="{C61A0625-60F2-4BB0-93E1-85B7A0B4D09B}"/>
            </a:ext>
          </a:extLst>
        </xdr:cNvPr>
        <xdr:cNvSpPr/>
      </xdr:nvSpPr>
      <xdr:spPr>
        <a:xfrm rot="10800000">
          <a:off x="10616737" y="52157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94</xdr:row>
      <xdr:rowOff>196272</xdr:rowOff>
    </xdr:from>
    <xdr:to>
      <xdr:col>8</xdr:col>
      <xdr:colOff>2320636</xdr:colOff>
      <xdr:row>94</xdr:row>
      <xdr:rowOff>346363</xdr:rowOff>
    </xdr:to>
    <xdr:sp macro="" textlink="">
      <xdr:nvSpPr>
        <xdr:cNvPr id="186" name="Isosceles Triangle 185">
          <a:extLst>
            <a:ext uri="{FF2B5EF4-FFF2-40B4-BE49-F238E27FC236}">
              <a16:creationId xmlns:a16="http://schemas.microsoft.com/office/drawing/2014/main" id="{8F1A727E-EBB3-489E-BDA1-FC668A31CBCE}"/>
            </a:ext>
          </a:extLst>
        </xdr:cNvPr>
        <xdr:cNvSpPr/>
      </xdr:nvSpPr>
      <xdr:spPr>
        <a:xfrm rot="10800000">
          <a:off x="10616737" y="52728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95</xdr:row>
      <xdr:rowOff>196272</xdr:rowOff>
    </xdr:from>
    <xdr:to>
      <xdr:col>8</xdr:col>
      <xdr:colOff>2320636</xdr:colOff>
      <xdr:row>95</xdr:row>
      <xdr:rowOff>346363</xdr:rowOff>
    </xdr:to>
    <xdr:sp macro="" textlink="">
      <xdr:nvSpPr>
        <xdr:cNvPr id="187" name="Isosceles Triangle 186">
          <a:extLst>
            <a:ext uri="{FF2B5EF4-FFF2-40B4-BE49-F238E27FC236}">
              <a16:creationId xmlns:a16="http://schemas.microsoft.com/office/drawing/2014/main" id="{411A71C3-AF7B-4A84-9B49-43CBBB0C70C7}"/>
            </a:ext>
          </a:extLst>
        </xdr:cNvPr>
        <xdr:cNvSpPr/>
      </xdr:nvSpPr>
      <xdr:spPr>
        <a:xfrm rot="10800000">
          <a:off x="10616737" y="53300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91</xdr:row>
      <xdr:rowOff>196272</xdr:rowOff>
    </xdr:from>
    <xdr:to>
      <xdr:col>10</xdr:col>
      <xdr:colOff>2320636</xdr:colOff>
      <xdr:row>91</xdr:row>
      <xdr:rowOff>346363</xdr:rowOff>
    </xdr:to>
    <xdr:sp macro="" textlink="">
      <xdr:nvSpPr>
        <xdr:cNvPr id="188" name="Isosceles Triangle 187">
          <a:extLst>
            <a:ext uri="{FF2B5EF4-FFF2-40B4-BE49-F238E27FC236}">
              <a16:creationId xmlns:a16="http://schemas.microsoft.com/office/drawing/2014/main" id="{83873F95-6F53-45BF-B043-1DEDCEE03D5F}"/>
            </a:ext>
          </a:extLst>
        </xdr:cNvPr>
        <xdr:cNvSpPr/>
      </xdr:nvSpPr>
      <xdr:spPr>
        <a:xfrm rot="10800000">
          <a:off x="14083837" y="51014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92</xdr:row>
      <xdr:rowOff>196272</xdr:rowOff>
    </xdr:from>
    <xdr:to>
      <xdr:col>10</xdr:col>
      <xdr:colOff>2320636</xdr:colOff>
      <xdr:row>92</xdr:row>
      <xdr:rowOff>346363</xdr:rowOff>
    </xdr:to>
    <xdr:sp macro="" textlink="">
      <xdr:nvSpPr>
        <xdr:cNvPr id="189" name="Isosceles Triangle 188">
          <a:extLst>
            <a:ext uri="{FF2B5EF4-FFF2-40B4-BE49-F238E27FC236}">
              <a16:creationId xmlns:a16="http://schemas.microsoft.com/office/drawing/2014/main" id="{79F918B1-54E6-4F10-8839-2DC29FFFF6A8}"/>
            </a:ext>
          </a:extLst>
        </xdr:cNvPr>
        <xdr:cNvSpPr/>
      </xdr:nvSpPr>
      <xdr:spPr>
        <a:xfrm rot="10800000">
          <a:off x="14083837" y="51585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93</xdr:row>
      <xdr:rowOff>196272</xdr:rowOff>
    </xdr:from>
    <xdr:to>
      <xdr:col>10</xdr:col>
      <xdr:colOff>2320636</xdr:colOff>
      <xdr:row>93</xdr:row>
      <xdr:rowOff>346363</xdr:rowOff>
    </xdr:to>
    <xdr:sp macro="" textlink="">
      <xdr:nvSpPr>
        <xdr:cNvPr id="190" name="Isosceles Triangle 189">
          <a:extLst>
            <a:ext uri="{FF2B5EF4-FFF2-40B4-BE49-F238E27FC236}">
              <a16:creationId xmlns:a16="http://schemas.microsoft.com/office/drawing/2014/main" id="{B08A6DC6-7F9F-49A9-990A-6ECF32C68770}"/>
            </a:ext>
          </a:extLst>
        </xdr:cNvPr>
        <xdr:cNvSpPr/>
      </xdr:nvSpPr>
      <xdr:spPr>
        <a:xfrm rot="10800000">
          <a:off x="14083837" y="52157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94</xdr:row>
      <xdr:rowOff>196272</xdr:rowOff>
    </xdr:from>
    <xdr:to>
      <xdr:col>10</xdr:col>
      <xdr:colOff>2320636</xdr:colOff>
      <xdr:row>94</xdr:row>
      <xdr:rowOff>346363</xdr:rowOff>
    </xdr:to>
    <xdr:sp macro="" textlink="">
      <xdr:nvSpPr>
        <xdr:cNvPr id="191" name="Isosceles Triangle 190">
          <a:extLst>
            <a:ext uri="{FF2B5EF4-FFF2-40B4-BE49-F238E27FC236}">
              <a16:creationId xmlns:a16="http://schemas.microsoft.com/office/drawing/2014/main" id="{A9DD1BBE-C7A0-4C73-9167-08CEED805269}"/>
            </a:ext>
          </a:extLst>
        </xdr:cNvPr>
        <xdr:cNvSpPr/>
      </xdr:nvSpPr>
      <xdr:spPr>
        <a:xfrm rot="10800000">
          <a:off x="14083837" y="52728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95</xdr:row>
      <xdr:rowOff>196272</xdr:rowOff>
    </xdr:from>
    <xdr:to>
      <xdr:col>10</xdr:col>
      <xdr:colOff>2320636</xdr:colOff>
      <xdr:row>95</xdr:row>
      <xdr:rowOff>346363</xdr:rowOff>
    </xdr:to>
    <xdr:sp macro="" textlink="">
      <xdr:nvSpPr>
        <xdr:cNvPr id="192" name="Isosceles Triangle 191">
          <a:extLst>
            <a:ext uri="{FF2B5EF4-FFF2-40B4-BE49-F238E27FC236}">
              <a16:creationId xmlns:a16="http://schemas.microsoft.com/office/drawing/2014/main" id="{9CAA1115-F413-444F-9906-7A5F87BE318D}"/>
            </a:ext>
          </a:extLst>
        </xdr:cNvPr>
        <xdr:cNvSpPr/>
      </xdr:nvSpPr>
      <xdr:spPr>
        <a:xfrm rot="10800000">
          <a:off x="14083837" y="53300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85</xdr:row>
      <xdr:rowOff>196272</xdr:rowOff>
    </xdr:from>
    <xdr:to>
      <xdr:col>8</xdr:col>
      <xdr:colOff>2320636</xdr:colOff>
      <xdr:row>85</xdr:row>
      <xdr:rowOff>346363</xdr:rowOff>
    </xdr:to>
    <xdr:sp macro="" textlink="">
      <xdr:nvSpPr>
        <xdr:cNvPr id="193" name="Isosceles Triangle 192">
          <a:extLst>
            <a:ext uri="{FF2B5EF4-FFF2-40B4-BE49-F238E27FC236}">
              <a16:creationId xmlns:a16="http://schemas.microsoft.com/office/drawing/2014/main" id="{3E7E6253-78FC-42C1-90B0-1F4F1421EA4B}"/>
            </a:ext>
          </a:extLst>
        </xdr:cNvPr>
        <xdr:cNvSpPr/>
      </xdr:nvSpPr>
      <xdr:spPr>
        <a:xfrm rot="10800000">
          <a:off x="10616737" y="47585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86</xdr:row>
      <xdr:rowOff>196272</xdr:rowOff>
    </xdr:from>
    <xdr:to>
      <xdr:col>8</xdr:col>
      <xdr:colOff>2320636</xdr:colOff>
      <xdr:row>86</xdr:row>
      <xdr:rowOff>346363</xdr:rowOff>
    </xdr:to>
    <xdr:sp macro="" textlink="">
      <xdr:nvSpPr>
        <xdr:cNvPr id="194" name="Isosceles Triangle 193">
          <a:extLst>
            <a:ext uri="{FF2B5EF4-FFF2-40B4-BE49-F238E27FC236}">
              <a16:creationId xmlns:a16="http://schemas.microsoft.com/office/drawing/2014/main" id="{6970AC79-5270-465D-ACD6-8FA1460A7D87}"/>
            </a:ext>
          </a:extLst>
        </xdr:cNvPr>
        <xdr:cNvSpPr/>
      </xdr:nvSpPr>
      <xdr:spPr>
        <a:xfrm rot="10800000">
          <a:off x="10616737" y="48156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87</xdr:row>
      <xdr:rowOff>196272</xdr:rowOff>
    </xdr:from>
    <xdr:to>
      <xdr:col>8</xdr:col>
      <xdr:colOff>2320636</xdr:colOff>
      <xdr:row>87</xdr:row>
      <xdr:rowOff>346363</xdr:rowOff>
    </xdr:to>
    <xdr:sp macro="" textlink="">
      <xdr:nvSpPr>
        <xdr:cNvPr id="195" name="Isosceles Triangle 194">
          <a:extLst>
            <a:ext uri="{FF2B5EF4-FFF2-40B4-BE49-F238E27FC236}">
              <a16:creationId xmlns:a16="http://schemas.microsoft.com/office/drawing/2014/main" id="{682D5D64-A319-4B59-9AB5-E53EE1286F7D}"/>
            </a:ext>
          </a:extLst>
        </xdr:cNvPr>
        <xdr:cNvSpPr/>
      </xdr:nvSpPr>
      <xdr:spPr>
        <a:xfrm rot="10800000">
          <a:off x="10616737" y="48728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88</xdr:row>
      <xdr:rowOff>196272</xdr:rowOff>
    </xdr:from>
    <xdr:to>
      <xdr:col>8</xdr:col>
      <xdr:colOff>2320636</xdr:colOff>
      <xdr:row>88</xdr:row>
      <xdr:rowOff>346363</xdr:rowOff>
    </xdr:to>
    <xdr:sp macro="" textlink="">
      <xdr:nvSpPr>
        <xdr:cNvPr id="196" name="Isosceles Triangle 195">
          <a:extLst>
            <a:ext uri="{FF2B5EF4-FFF2-40B4-BE49-F238E27FC236}">
              <a16:creationId xmlns:a16="http://schemas.microsoft.com/office/drawing/2014/main" id="{68AB4908-6A32-4F13-A9C7-5D72867C5C21}"/>
            </a:ext>
          </a:extLst>
        </xdr:cNvPr>
        <xdr:cNvSpPr/>
      </xdr:nvSpPr>
      <xdr:spPr>
        <a:xfrm rot="10800000">
          <a:off x="10616737" y="49299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89</xdr:row>
      <xdr:rowOff>196272</xdr:rowOff>
    </xdr:from>
    <xdr:to>
      <xdr:col>8</xdr:col>
      <xdr:colOff>2320636</xdr:colOff>
      <xdr:row>89</xdr:row>
      <xdr:rowOff>346363</xdr:rowOff>
    </xdr:to>
    <xdr:sp macro="" textlink="">
      <xdr:nvSpPr>
        <xdr:cNvPr id="197" name="Isosceles Triangle 196">
          <a:extLst>
            <a:ext uri="{FF2B5EF4-FFF2-40B4-BE49-F238E27FC236}">
              <a16:creationId xmlns:a16="http://schemas.microsoft.com/office/drawing/2014/main" id="{346D1090-7798-41AA-A7F8-E80E617FE617}"/>
            </a:ext>
          </a:extLst>
        </xdr:cNvPr>
        <xdr:cNvSpPr/>
      </xdr:nvSpPr>
      <xdr:spPr>
        <a:xfrm rot="10800000">
          <a:off x="10616737" y="49871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85</xdr:row>
      <xdr:rowOff>196272</xdr:rowOff>
    </xdr:from>
    <xdr:to>
      <xdr:col>10</xdr:col>
      <xdr:colOff>2320636</xdr:colOff>
      <xdr:row>85</xdr:row>
      <xdr:rowOff>346363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565548C3-09EA-4C86-94E9-A3F06EAB0B20}"/>
            </a:ext>
          </a:extLst>
        </xdr:cNvPr>
        <xdr:cNvSpPr/>
      </xdr:nvSpPr>
      <xdr:spPr>
        <a:xfrm rot="10800000">
          <a:off x="14083837" y="47585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86</xdr:row>
      <xdr:rowOff>196272</xdr:rowOff>
    </xdr:from>
    <xdr:to>
      <xdr:col>10</xdr:col>
      <xdr:colOff>2320636</xdr:colOff>
      <xdr:row>86</xdr:row>
      <xdr:rowOff>346363</xdr:rowOff>
    </xdr:to>
    <xdr:sp macro="" textlink="">
      <xdr:nvSpPr>
        <xdr:cNvPr id="199" name="Isosceles Triangle 198">
          <a:extLst>
            <a:ext uri="{FF2B5EF4-FFF2-40B4-BE49-F238E27FC236}">
              <a16:creationId xmlns:a16="http://schemas.microsoft.com/office/drawing/2014/main" id="{C4233375-1061-46E9-8230-4E52E0395CA9}"/>
            </a:ext>
          </a:extLst>
        </xdr:cNvPr>
        <xdr:cNvSpPr/>
      </xdr:nvSpPr>
      <xdr:spPr>
        <a:xfrm rot="10800000">
          <a:off x="14083837" y="48156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87</xdr:row>
      <xdr:rowOff>196272</xdr:rowOff>
    </xdr:from>
    <xdr:to>
      <xdr:col>10</xdr:col>
      <xdr:colOff>2320636</xdr:colOff>
      <xdr:row>87</xdr:row>
      <xdr:rowOff>346363</xdr:rowOff>
    </xdr:to>
    <xdr:sp macro="" textlink="">
      <xdr:nvSpPr>
        <xdr:cNvPr id="200" name="Isosceles Triangle 199">
          <a:extLst>
            <a:ext uri="{FF2B5EF4-FFF2-40B4-BE49-F238E27FC236}">
              <a16:creationId xmlns:a16="http://schemas.microsoft.com/office/drawing/2014/main" id="{3DFBE437-32BF-4985-9E8E-B0CDED0BB381}"/>
            </a:ext>
          </a:extLst>
        </xdr:cNvPr>
        <xdr:cNvSpPr/>
      </xdr:nvSpPr>
      <xdr:spPr>
        <a:xfrm rot="10800000">
          <a:off x="14083837" y="48728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88</xdr:row>
      <xdr:rowOff>196272</xdr:rowOff>
    </xdr:from>
    <xdr:to>
      <xdr:col>10</xdr:col>
      <xdr:colOff>2320636</xdr:colOff>
      <xdr:row>88</xdr:row>
      <xdr:rowOff>346363</xdr:rowOff>
    </xdr:to>
    <xdr:sp macro="" textlink="">
      <xdr:nvSpPr>
        <xdr:cNvPr id="201" name="Isosceles Triangle 200">
          <a:extLst>
            <a:ext uri="{FF2B5EF4-FFF2-40B4-BE49-F238E27FC236}">
              <a16:creationId xmlns:a16="http://schemas.microsoft.com/office/drawing/2014/main" id="{5058248A-0B8D-4F42-B314-C4C3329A7DBF}"/>
            </a:ext>
          </a:extLst>
        </xdr:cNvPr>
        <xdr:cNvSpPr/>
      </xdr:nvSpPr>
      <xdr:spPr>
        <a:xfrm rot="10800000">
          <a:off x="14083837" y="49299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202" name="Isosceles Triangle 201">
          <a:extLst>
            <a:ext uri="{FF2B5EF4-FFF2-40B4-BE49-F238E27FC236}">
              <a16:creationId xmlns:a16="http://schemas.microsoft.com/office/drawing/2014/main" id="{6CF8CF88-44CC-456E-A621-4619FF324A3B}"/>
            </a:ext>
          </a:extLst>
        </xdr:cNvPr>
        <xdr:cNvSpPr/>
      </xdr:nvSpPr>
      <xdr:spPr>
        <a:xfrm rot="10800000">
          <a:off x="14083837" y="49871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79</xdr:row>
      <xdr:rowOff>196272</xdr:rowOff>
    </xdr:from>
    <xdr:to>
      <xdr:col>8</xdr:col>
      <xdr:colOff>2320636</xdr:colOff>
      <xdr:row>79</xdr:row>
      <xdr:rowOff>346363</xdr:rowOff>
    </xdr:to>
    <xdr:sp macro="" textlink="">
      <xdr:nvSpPr>
        <xdr:cNvPr id="203" name="Isosceles Triangle 202">
          <a:extLst>
            <a:ext uri="{FF2B5EF4-FFF2-40B4-BE49-F238E27FC236}">
              <a16:creationId xmlns:a16="http://schemas.microsoft.com/office/drawing/2014/main" id="{161A83C4-A2E6-48D4-9041-44193F8AD64E}"/>
            </a:ext>
          </a:extLst>
        </xdr:cNvPr>
        <xdr:cNvSpPr/>
      </xdr:nvSpPr>
      <xdr:spPr>
        <a:xfrm rot="10800000">
          <a:off x="10616737" y="44156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80</xdr:row>
      <xdr:rowOff>196272</xdr:rowOff>
    </xdr:from>
    <xdr:to>
      <xdr:col>8</xdr:col>
      <xdr:colOff>2320636</xdr:colOff>
      <xdr:row>80</xdr:row>
      <xdr:rowOff>346363</xdr:rowOff>
    </xdr:to>
    <xdr:sp macro="" textlink="">
      <xdr:nvSpPr>
        <xdr:cNvPr id="204" name="Isosceles Triangle 203">
          <a:extLst>
            <a:ext uri="{FF2B5EF4-FFF2-40B4-BE49-F238E27FC236}">
              <a16:creationId xmlns:a16="http://schemas.microsoft.com/office/drawing/2014/main" id="{BF140799-B9B1-4682-B6C2-2BDF35CC034C}"/>
            </a:ext>
          </a:extLst>
        </xdr:cNvPr>
        <xdr:cNvSpPr/>
      </xdr:nvSpPr>
      <xdr:spPr>
        <a:xfrm rot="10800000">
          <a:off x="10616737" y="44727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81</xdr:row>
      <xdr:rowOff>196272</xdr:rowOff>
    </xdr:from>
    <xdr:to>
      <xdr:col>8</xdr:col>
      <xdr:colOff>2320636</xdr:colOff>
      <xdr:row>81</xdr:row>
      <xdr:rowOff>346363</xdr:rowOff>
    </xdr:to>
    <xdr:sp macro="" textlink="">
      <xdr:nvSpPr>
        <xdr:cNvPr id="205" name="Isosceles Triangle 204">
          <a:extLst>
            <a:ext uri="{FF2B5EF4-FFF2-40B4-BE49-F238E27FC236}">
              <a16:creationId xmlns:a16="http://schemas.microsoft.com/office/drawing/2014/main" id="{8EB2FA9A-0F58-420B-976A-7D07E6E53D47}"/>
            </a:ext>
          </a:extLst>
        </xdr:cNvPr>
        <xdr:cNvSpPr/>
      </xdr:nvSpPr>
      <xdr:spPr>
        <a:xfrm rot="10800000">
          <a:off x="10616737" y="45299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82</xdr:row>
      <xdr:rowOff>196272</xdr:rowOff>
    </xdr:from>
    <xdr:to>
      <xdr:col>8</xdr:col>
      <xdr:colOff>2320636</xdr:colOff>
      <xdr:row>82</xdr:row>
      <xdr:rowOff>346363</xdr:rowOff>
    </xdr:to>
    <xdr:sp macro="" textlink="">
      <xdr:nvSpPr>
        <xdr:cNvPr id="206" name="Isosceles Triangle 205">
          <a:extLst>
            <a:ext uri="{FF2B5EF4-FFF2-40B4-BE49-F238E27FC236}">
              <a16:creationId xmlns:a16="http://schemas.microsoft.com/office/drawing/2014/main" id="{389D4F81-D22A-450C-BABA-17C3F1E2C1AA}"/>
            </a:ext>
          </a:extLst>
        </xdr:cNvPr>
        <xdr:cNvSpPr/>
      </xdr:nvSpPr>
      <xdr:spPr>
        <a:xfrm rot="10800000">
          <a:off x="10616737" y="45870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83</xdr:row>
      <xdr:rowOff>196272</xdr:rowOff>
    </xdr:from>
    <xdr:to>
      <xdr:col>8</xdr:col>
      <xdr:colOff>2320636</xdr:colOff>
      <xdr:row>83</xdr:row>
      <xdr:rowOff>346363</xdr:rowOff>
    </xdr:to>
    <xdr:sp macro="" textlink="">
      <xdr:nvSpPr>
        <xdr:cNvPr id="207" name="Isosceles Triangle 206">
          <a:extLst>
            <a:ext uri="{FF2B5EF4-FFF2-40B4-BE49-F238E27FC236}">
              <a16:creationId xmlns:a16="http://schemas.microsoft.com/office/drawing/2014/main" id="{DA0D1D58-C6FC-4C4C-B86E-D0E026511B21}"/>
            </a:ext>
          </a:extLst>
        </xdr:cNvPr>
        <xdr:cNvSpPr/>
      </xdr:nvSpPr>
      <xdr:spPr>
        <a:xfrm rot="10800000">
          <a:off x="10616737" y="46442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79</xdr:row>
      <xdr:rowOff>196272</xdr:rowOff>
    </xdr:from>
    <xdr:to>
      <xdr:col>10</xdr:col>
      <xdr:colOff>2320636</xdr:colOff>
      <xdr:row>79</xdr:row>
      <xdr:rowOff>346363</xdr:rowOff>
    </xdr:to>
    <xdr:sp macro="" textlink="">
      <xdr:nvSpPr>
        <xdr:cNvPr id="208" name="Isosceles Triangle 207">
          <a:extLst>
            <a:ext uri="{FF2B5EF4-FFF2-40B4-BE49-F238E27FC236}">
              <a16:creationId xmlns:a16="http://schemas.microsoft.com/office/drawing/2014/main" id="{31107FB1-ABE8-42DF-8621-E966543E2959}"/>
            </a:ext>
          </a:extLst>
        </xdr:cNvPr>
        <xdr:cNvSpPr/>
      </xdr:nvSpPr>
      <xdr:spPr>
        <a:xfrm rot="10800000">
          <a:off x="14083837" y="44156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80</xdr:row>
      <xdr:rowOff>196272</xdr:rowOff>
    </xdr:from>
    <xdr:to>
      <xdr:col>10</xdr:col>
      <xdr:colOff>2320636</xdr:colOff>
      <xdr:row>80</xdr:row>
      <xdr:rowOff>346363</xdr:rowOff>
    </xdr:to>
    <xdr:sp macro="" textlink="">
      <xdr:nvSpPr>
        <xdr:cNvPr id="209" name="Isosceles Triangle 208">
          <a:extLst>
            <a:ext uri="{FF2B5EF4-FFF2-40B4-BE49-F238E27FC236}">
              <a16:creationId xmlns:a16="http://schemas.microsoft.com/office/drawing/2014/main" id="{23B05FC6-0A26-43A7-A3F0-19BCA0AD5A3B}"/>
            </a:ext>
          </a:extLst>
        </xdr:cNvPr>
        <xdr:cNvSpPr/>
      </xdr:nvSpPr>
      <xdr:spPr>
        <a:xfrm rot="10800000">
          <a:off x="14083837" y="44727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81</xdr:row>
      <xdr:rowOff>196272</xdr:rowOff>
    </xdr:from>
    <xdr:to>
      <xdr:col>10</xdr:col>
      <xdr:colOff>2320636</xdr:colOff>
      <xdr:row>81</xdr:row>
      <xdr:rowOff>346363</xdr:rowOff>
    </xdr:to>
    <xdr:sp macro="" textlink="">
      <xdr:nvSpPr>
        <xdr:cNvPr id="210" name="Isosceles Triangle 209">
          <a:extLst>
            <a:ext uri="{FF2B5EF4-FFF2-40B4-BE49-F238E27FC236}">
              <a16:creationId xmlns:a16="http://schemas.microsoft.com/office/drawing/2014/main" id="{8E743E97-996C-487A-B362-76A45C108714}"/>
            </a:ext>
          </a:extLst>
        </xdr:cNvPr>
        <xdr:cNvSpPr/>
      </xdr:nvSpPr>
      <xdr:spPr>
        <a:xfrm rot="10800000">
          <a:off x="14083837" y="45299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82</xdr:row>
      <xdr:rowOff>196272</xdr:rowOff>
    </xdr:from>
    <xdr:to>
      <xdr:col>10</xdr:col>
      <xdr:colOff>2320636</xdr:colOff>
      <xdr:row>82</xdr:row>
      <xdr:rowOff>346363</xdr:rowOff>
    </xdr:to>
    <xdr:sp macro="" textlink="">
      <xdr:nvSpPr>
        <xdr:cNvPr id="211" name="Isosceles Triangle 210">
          <a:extLst>
            <a:ext uri="{FF2B5EF4-FFF2-40B4-BE49-F238E27FC236}">
              <a16:creationId xmlns:a16="http://schemas.microsoft.com/office/drawing/2014/main" id="{2F4F1532-9F91-45CB-B798-C043C8586BD4}"/>
            </a:ext>
          </a:extLst>
        </xdr:cNvPr>
        <xdr:cNvSpPr/>
      </xdr:nvSpPr>
      <xdr:spPr>
        <a:xfrm rot="10800000">
          <a:off x="14083837" y="45870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83</xdr:row>
      <xdr:rowOff>196272</xdr:rowOff>
    </xdr:from>
    <xdr:to>
      <xdr:col>10</xdr:col>
      <xdr:colOff>2320636</xdr:colOff>
      <xdr:row>83</xdr:row>
      <xdr:rowOff>346363</xdr:rowOff>
    </xdr:to>
    <xdr:sp macro="" textlink="">
      <xdr:nvSpPr>
        <xdr:cNvPr id="212" name="Isosceles Triangle 211">
          <a:extLst>
            <a:ext uri="{FF2B5EF4-FFF2-40B4-BE49-F238E27FC236}">
              <a16:creationId xmlns:a16="http://schemas.microsoft.com/office/drawing/2014/main" id="{1F3A74F1-8955-49C3-971A-760B2383FF63}"/>
            </a:ext>
          </a:extLst>
        </xdr:cNvPr>
        <xdr:cNvSpPr/>
      </xdr:nvSpPr>
      <xdr:spPr>
        <a:xfrm rot="10800000">
          <a:off x="14083837" y="46442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73</xdr:row>
      <xdr:rowOff>196272</xdr:rowOff>
    </xdr:from>
    <xdr:to>
      <xdr:col>8</xdr:col>
      <xdr:colOff>2320636</xdr:colOff>
      <xdr:row>73</xdr:row>
      <xdr:rowOff>346363</xdr:rowOff>
    </xdr:to>
    <xdr:sp macro="" textlink="">
      <xdr:nvSpPr>
        <xdr:cNvPr id="213" name="Isosceles Triangle 212">
          <a:extLst>
            <a:ext uri="{FF2B5EF4-FFF2-40B4-BE49-F238E27FC236}">
              <a16:creationId xmlns:a16="http://schemas.microsoft.com/office/drawing/2014/main" id="{0BE79527-EEFF-427F-BF6F-39F92416001D}"/>
            </a:ext>
          </a:extLst>
        </xdr:cNvPr>
        <xdr:cNvSpPr/>
      </xdr:nvSpPr>
      <xdr:spPr>
        <a:xfrm rot="10800000">
          <a:off x="10616737" y="40727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74</xdr:row>
      <xdr:rowOff>196272</xdr:rowOff>
    </xdr:from>
    <xdr:to>
      <xdr:col>8</xdr:col>
      <xdr:colOff>2320636</xdr:colOff>
      <xdr:row>74</xdr:row>
      <xdr:rowOff>346363</xdr:rowOff>
    </xdr:to>
    <xdr:sp macro="" textlink="">
      <xdr:nvSpPr>
        <xdr:cNvPr id="214" name="Isosceles Triangle 213">
          <a:extLst>
            <a:ext uri="{FF2B5EF4-FFF2-40B4-BE49-F238E27FC236}">
              <a16:creationId xmlns:a16="http://schemas.microsoft.com/office/drawing/2014/main" id="{178BBD86-C335-4071-A6D2-6CCD7C3F0F9B}"/>
            </a:ext>
          </a:extLst>
        </xdr:cNvPr>
        <xdr:cNvSpPr/>
      </xdr:nvSpPr>
      <xdr:spPr>
        <a:xfrm rot="10800000">
          <a:off x="10616737" y="41298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75</xdr:row>
      <xdr:rowOff>196272</xdr:rowOff>
    </xdr:from>
    <xdr:to>
      <xdr:col>8</xdr:col>
      <xdr:colOff>2320636</xdr:colOff>
      <xdr:row>75</xdr:row>
      <xdr:rowOff>346363</xdr:rowOff>
    </xdr:to>
    <xdr:sp macro="" textlink="">
      <xdr:nvSpPr>
        <xdr:cNvPr id="215" name="Isosceles Triangle 214">
          <a:extLst>
            <a:ext uri="{FF2B5EF4-FFF2-40B4-BE49-F238E27FC236}">
              <a16:creationId xmlns:a16="http://schemas.microsoft.com/office/drawing/2014/main" id="{2D1B9116-0023-422B-BB4D-9753106E8F37}"/>
            </a:ext>
          </a:extLst>
        </xdr:cNvPr>
        <xdr:cNvSpPr/>
      </xdr:nvSpPr>
      <xdr:spPr>
        <a:xfrm rot="10800000">
          <a:off x="10616737" y="41870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76</xdr:row>
      <xdr:rowOff>196272</xdr:rowOff>
    </xdr:from>
    <xdr:to>
      <xdr:col>8</xdr:col>
      <xdr:colOff>2320636</xdr:colOff>
      <xdr:row>76</xdr:row>
      <xdr:rowOff>346363</xdr:rowOff>
    </xdr:to>
    <xdr:sp macro="" textlink="">
      <xdr:nvSpPr>
        <xdr:cNvPr id="216" name="Isosceles Triangle 215">
          <a:extLst>
            <a:ext uri="{FF2B5EF4-FFF2-40B4-BE49-F238E27FC236}">
              <a16:creationId xmlns:a16="http://schemas.microsoft.com/office/drawing/2014/main" id="{3CFC0FDB-4725-4D2E-8963-6E63B0561345}"/>
            </a:ext>
          </a:extLst>
        </xdr:cNvPr>
        <xdr:cNvSpPr/>
      </xdr:nvSpPr>
      <xdr:spPr>
        <a:xfrm rot="10800000">
          <a:off x="10616737" y="42441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77</xdr:row>
      <xdr:rowOff>196272</xdr:rowOff>
    </xdr:from>
    <xdr:to>
      <xdr:col>8</xdr:col>
      <xdr:colOff>2320636</xdr:colOff>
      <xdr:row>77</xdr:row>
      <xdr:rowOff>346363</xdr:rowOff>
    </xdr:to>
    <xdr:sp macro="" textlink="">
      <xdr:nvSpPr>
        <xdr:cNvPr id="217" name="Isosceles Triangle 216">
          <a:extLst>
            <a:ext uri="{FF2B5EF4-FFF2-40B4-BE49-F238E27FC236}">
              <a16:creationId xmlns:a16="http://schemas.microsoft.com/office/drawing/2014/main" id="{CF56443F-CE07-4936-A4D0-74CB194A6243}"/>
            </a:ext>
          </a:extLst>
        </xdr:cNvPr>
        <xdr:cNvSpPr/>
      </xdr:nvSpPr>
      <xdr:spPr>
        <a:xfrm rot="10800000">
          <a:off x="10616737" y="43013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73</xdr:row>
      <xdr:rowOff>196272</xdr:rowOff>
    </xdr:from>
    <xdr:to>
      <xdr:col>10</xdr:col>
      <xdr:colOff>2320636</xdr:colOff>
      <xdr:row>73</xdr:row>
      <xdr:rowOff>346363</xdr:rowOff>
    </xdr:to>
    <xdr:sp macro="" textlink="">
      <xdr:nvSpPr>
        <xdr:cNvPr id="218" name="Isosceles Triangle 217">
          <a:extLst>
            <a:ext uri="{FF2B5EF4-FFF2-40B4-BE49-F238E27FC236}">
              <a16:creationId xmlns:a16="http://schemas.microsoft.com/office/drawing/2014/main" id="{F47E13F8-2A59-4E77-9C90-A3D9302A767C}"/>
            </a:ext>
          </a:extLst>
        </xdr:cNvPr>
        <xdr:cNvSpPr/>
      </xdr:nvSpPr>
      <xdr:spPr>
        <a:xfrm rot="10800000">
          <a:off x="14083837" y="40727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74</xdr:row>
      <xdr:rowOff>196272</xdr:rowOff>
    </xdr:from>
    <xdr:to>
      <xdr:col>10</xdr:col>
      <xdr:colOff>2320636</xdr:colOff>
      <xdr:row>74</xdr:row>
      <xdr:rowOff>346363</xdr:rowOff>
    </xdr:to>
    <xdr:sp macro="" textlink="">
      <xdr:nvSpPr>
        <xdr:cNvPr id="219" name="Isosceles Triangle 218">
          <a:extLst>
            <a:ext uri="{FF2B5EF4-FFF2-40B4-BE49-F238E27FC236}">
              <a16:creationId xmlns:a16="http://schemas.microsoft.com/office/drawing/2014/main" id="{EA733141-B0D1-410D-A358-6A8BA11C30CC}"/>
            </a:ext>
          </a:extLst>
        </xdr:cNvPr>
        <xdr:cNvSpPr/>
      </xdr:nvSpPr>
      <xdr:spPr>
        <a:xfrm rot="10800000">
          <a:off x="14083837" y="41298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75</xdr:row>
      <xdr:rowOff>196272</xdr:rowOff>
    </xdr:from>
    <xdr:to>
      <xdr:col>10</xdr:col>
      <xdr:colOff>2320636</xdr:colOff>
      <xdr:row>75</xdr:row>
      <xdr:rowOff>346363</xdr:rowOff>
    </xdr:to>
    <xdr:sp macro="" textlink="">
      <xdr:nvSpPr>
        <xdr:cNvPr id="220" name="Isosceles Triangle 219">
          <a:extLst>
            <a:ext uri="{FF2B5EF4-FFF2-40B4-BE49-F238E27FC236}">
              <a16:creationId xmlns:a16="http://schemas.microsoft.com/office/drawing/2014/main" id="{DAD813CE-2B1F-4177-8DB0-818AD58A0F50}"/>
            </a:ext>
          </a:extLst>
        </xdr:cNvPr>
        <xdr:cNvSpPr/>
      </xdr:nvSpPr>
      <xdr:spPr>
        <a:xfrm rot="10800000">
          <a:off x="14083837" y="41870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76</xdr:row>
      <xdr:rowOff>196272</xdr:rowOff>
    </xdr:from>
    <xdr:to>
      <xdr:col>10</xdr:col>
      <xdr:colOff>2320636</xdr:colOff>
      <xdr:row>76</xdr:row>
      <xdr:rowOff>346363</xdr:rowOff>
    </xdr:to>
    <xdr:sp macro="" textlink="">
      <xdr:nvSpPr>
        <xdr:cNvPr id="221" name="Isosceles Triangle 220">
          <a:extLst>
            <a:ext uri="{FF2B5EF4-FFF2-40B4-BE49-F238E27FC236}">
              <a16:creationId xmlns:a16="http://schemas.microsoft.com/office/drawing/2014/main" id="{0037309C-24C7-440C-8590-AA55B115B779}"/>
            </a:ext>
          </a:extLst>
        </xdr:cNvPr>
        <xdr:cNvSpPr/>
      </xdr:nvSpPr>
      <xdr:spPr>
        <a:xfrm rot="10800000">
          <a:off x="14083837" y="42441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77</xdr:row>
      <xdr:rowOff>196272</xdr:rowOff>
    </xdr:from>
    <xdr:to>
      <xdr:col>10</xdr:col>
      <xdr:colOff>2320636</xdr:colOff>
      <xdr:row>77</xdr:row>
      <xdr:rowOff>346363</xdr:rowOff>
    </xdr:to>
    <xdr:sp macro="" textlink="">
      <xdr:nvSpPr>
        <xdr:cNvPr id="222" name="Isosceles Triangle 221">
          <a:extLst>
            <a:ext uri="{FF2B5EF4-FFF2-40B4-BE49-F238E27FC236}">
              <a16:creationId xmlns:a16="http://schemas.microsoft.com/office/drawing/2014/main" id="{68C15046-A650-4EC5-ACCD-952E5A72C522}"/>
            </a:ext>
          </a:extLst>
        </xdr:cNvPr>
        <xdr:cNvSpPr/>
      </xdr:nvSpPr>
      <xdr:spPr>
        <a:xfrm rot="10800000">
          <a:off x="14083837" y="43013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67</xdr:row>
      <xdr:rowOff>196272</xdr:rowOff>
    </xdr:from>
    <xdr:to>
      <xdr:col>8</xdr:col>
      <xdr:colOff>2320636</xdr:colOff>
      <xdr:row>67</xdr:row>
      <xdr:rowOff>346363</xdr:rowOff>
    </xdr:to>
    <xdr:sp macro="" textlink="">
      <xdr:nvSpPr>
        <xdr:cNvPr id="223" name="Isosceles Triangle 222">
          <a:extLst>
            <a:ext uri="{FF2B5EF4-FFF2-40B4-BE49-F238E27FC236}">
              <a16:creationId xmlns:a16="http://schemas.microsoft.com/office/drawing/2014/main" id="{5C86059C-9236-4E5C-BBE6-39359E94ABC4}"/>
            </a:ext>
          </a:extLst>
        </xdr:cNvPr>
        <xdr:cNvSpPr/>
      </xdr:nvSpPr>
      <xdr:spPr>
        <a:xfrm rot="10800000">
          <a:off x="10616737" y="37298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68</xdr:row>
      <xdr:rowOff>196272</xdr:rowOff>
    </xdr:from>
    <xdr:to>
      <xdr:col>8</xdr:col>
      <xdr:colOff>2320636</xdr:colOff>
      <xdr:row>68</xdr:row>
      <xdr:rowOff>346363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20BD1861-7B46-4A45-978F-FCE4FEF8B760}"/>
            </a:ext>
          </a:extLst>
        </xdr:cNvPr>
        <xdr:cNvSpPr/>
      </xdr:nvSpPr>
      <xdr:spPr>
        <a:xfrm rot="10800000">
          <a:off x="10616737" y="37869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69</xdr:row>
      <xdr:rowOff>196272</xdr:rowOff>
    </xdr:from>
    <xdr:to>
      <xdr:col>8</xdr:col>
      <xdr:colOff>2320636</xdr:colOff>
      <xdr:row>69</xdr:row>
      <xdr:rowOff>346363</xdr:rowOff>
    </xdr:to>
    <xdr:sp macro="" textlink="">
      <xdr:nvSpPr>
        <xdr:cNvPr id="225" name="Isosceles Triangle 224">
          <a:extLst>
            <a:ext uri="{FF2B5EF4-FFF2-40B4-BE49-F238E27FC236}">
              <a16:creationId xmlns:a16="http://schemas.microsoft.com/office/drawing/2014/main" id="{FB719D9B-DF88-4FC0-9D33-1EA14EF0B446}"/>
            </a:ext>
          </a:extLst>
        </xdr:cNvPr>
        <xdr:cNvSpPr/>
      </xdr:nvSpPr>
      <xdr:spPr>
        <a:xfrm rot="10800000">
          <a:off x="10616737" y="38441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70</xdr:row>
      <xdr:rowOff>196272</xdr:rowOff>
    </xdr:from>
    <xdr:to>
      <xdr:col>8</xdr:col>
      <xdr:colOff>2320636</xdr:colOff>
      <xdr:row>70</xdr:row>
      <xdr:rowOff>346363</xdr:rowOff>
    </xdr:to>
    <xdr:sp macro="" textlink="">
      <xdr:nvSpPr>
        <xdr:cNvPr id="226" name="Isosceles Triangle 225">
          <a:extLst>
            <a:ext uri="{FF2B5EF4-FFF2-40B4-BE49-F238E27FC236}">
              <a16:creationId xmlns:a16="http://schemas.microsoft.com/office/drawing/2014/main" id="{4002E080-9C75-4DE8-8095-FC92EAF3512C}"/>
            </a:ext>
          </a:extLst>
        </xdr:cNvPr>
        <xdr:cNvSpPr/>
      </xdr:nvSpPr>
      <xdr:spPr>
        <a:xfrm rot="10800000">
          <a:off x="10616737" y="39012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71</xdr:row>
      <xdr:rowOff>196272</xdr:rowOff>
    </xdr:from>
    <xdr:to>
      <xdr:col>8</xdr:col>
      <xdr:colOff>2320636</xdr:colOff>
      <xdr:row>71</xdr:row>
      <xdr:rowOff>346363</xdr:rowOff>
    </xdr:to>
    <xdr:sp macro="" textlink="">
      <xdr:nvSpPr>
        <xdr:cNvPr id="227" name="Isosceles Triangle 226">
          <a:extLst>
            <a:ext uri="{FF2B5EF4-FFF2-40B4-BE49-F238E27FC236}">
              <a16:creationId xmlns:a16="http://schemas.microsoft.com/office/drawing/2014/main" id="{EE7A1C1C-AC79-44F4-8B45-D91606BB6D51}"/>
            </a:ext>
          </a:extLst>
        </xdr:cNvPr>
        <xdr:cNvSpPr/>
      </xdr:nvSpPr>
      <xdr:spPr>
        <a:xfrm rot="10800000">
          <a:off x="10616737" y="39584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228" name="Isosceles Triangle 227">
          <a:extLst>
            <a:ext uri="{FF2B5EF4-FFF2-40B4-BE49-F238E27FC236}">
              <a16:creationId xmlns:a16="http://schemas.microsoft.com/office/drawing/2014/main" id="{9B0C3D2E-9F5F-49AF-9ED3-A28240C1CDF0}"/>
            </a:ext>
          </a:extLst>
        </xdr:cNvPr>
        <xdr:cNvSpPr/>
      </xdr:nvSpPr>
      <xdr:spPr>
        <a:xfrm rot="10800000">
          <a:off x="14083837" y="37298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29" name="Isosceles Triangle 228">
          <a:extLst>
            <a:ext uri="{FF2B5EF4-FFF2-40B4-BE49-F238E27FC236}">
              <a16:creationId xmlns:a16="http://schemas.microsoft.com/office/drawing/2014/main" id="{919FFC0B-1890-42FD-906F-929B0934F5AF}"/>
            </a:ext>
          </a:extLst>
        </xdr:cNvPr>
        <xdr:cNvSpPr/>
      </xdr:nvSpPr>
      <xdr:spPr>
        <a:xfrm rot="10800000">
          <a:off x="14083837" y="37869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230" name="Isosceles Triangle 229">
          <a:extLst>
            <a:ext uri="{FF2B5EF4-FFF2-40B4-BE49-F238E27FC236}">
              <a16:creationId xmlns:a16="http://schemas.microsoft.com/office/drawing/2014/main" id="{F3BDEBE8-88A8-47A8-9C03-21F4D0B951FD}"/>
            </a:ext>
          </a:extLst>
        </xdr:cNvPr>
        <xdr:cNvSpPr/>
      </xdr:nvSpPr>
      <xdr:spPr>
        <a:xfrm rot="10800000">
          <a:off x="14083837" y="38441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70</xdr:row>
      <xdr:rowOff>196272</xdr:rowOff>
    </xdr:from>
    <xdr:to>
      <xdr:col>10</xdr:col>
      <xdr:colOff>2320636</xdr:colOff>
      <xdr:row>70</xdr:row>
      <xdr:rowOff>346363</xdr:rowOff>
    </xdr:to>
    <xdr:sp macro="" textlink="">
      <xdr:nvSpPr>
        <xdr:cNvPr id="231" name="Isosceles Triangle 230">
          <a:extLst>
            <a:ext uri="{FF2B5EF4-FFF2-40B4-BE49-F238E27FC236}">
              <a16:creationId xmlns:a16="http://schemas.microsoft.com/office/drawing/2014/main" id="{5ABECE01-E531-4757-8EED-78D3F1600D43}"/>
            </a:ext>
          </a:extLst>
        </xdr:cNvPr>
        <xdr:cNvSpPr/>
      </xdr:nvSpPr>
      <xdr:spPr>
        <a:xfrm rot="10800000">
          <a:off x="14083837" y="39012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71</xdr:row>
      <xdr:rowOff>196272</xdr:rowOff>
    </xdr:from>
    <xdr:to>
      <xdr:col>10</xdr:col>
      <xdr:colOff>2320636</xdr:colOff>
      <xdr:row>71</xdr:row>
      <xdr:rowOff>346363</xdr:rowOff>
    </xdr:to>
    <xdr:sp macro="" textlink="">
      <xdr:nvSpPr>
        <xdr:cNvPr id="232" name="Isosceles Triangle 231">
          <a:extLst>
            <a:ext uri="{FF2B5EF4-FFF2-40B4-BE49-F238E27FC236}">
              <a16:creationId xmlns:a16="http://schemas.microsoft.com/office/drawing/2014/main" id="{5785D45F-015E-4B45-8D83-456ADCD3C027}"/>
            </a:ext>
          </a:extLst>
        </xdr:cNvPr>
        <xdr:cNvSpPr/>
      </xdr:nvSpPr>
      <xdr:spPr>
        <a:xfrm rot="10800000">
          <a:off x="14083837" y="39584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61</xdr:row>
      <xdr:rowOff>196272</xdr:rowOff>
    </xdr:from>
    <xdr:to>
      <xdr:col>8</xdr:col>
      <xdr:colOff>2320636</xdr:colOff>
      <xdr:row>61</xdr:row>
      <xdr:rowOff>346363</xdr:rowOff>
    </xdr:to>
    <xdr:sp macro="" textlink="">
      <xdr:nvSpPr>
        <xdr:cNvPr id="233" name="Isosceles Triangle 232">
          <a:extLst>
            <a:ext uri="{FF2B5EF4-FFF2-40B4-BE49-F238E27FC236}">
              <a16:creationId xmlns:a16="http://schemas.microsoft.com/office/drawing/2014/main" id="{002AB374-74A1-40B9-99E1-9D3F9F672C8C}"/>
            </a:ext>
          </a:extLst>
        </xdr:cNvPr>
        <xdr:cNvSpPr/>
      </xdr:nvSpPr>
      <xdr:spPr>
        <a:xfrm rot="10800000">
          <a:off x="10616737" y="33869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62</xdr:row>
      <xdr:rowOff>196272</xdr:rowOff>
    </xdr:from>
    <xdr:to>
      <xdr:col>8</xdr:col>
      <xdr:colOff>2320636</xdr:colOff>
      <xdr:row>62</xdr:row>
      <xdr:rowOff>346363</xdr:rowOff>
    </xdr:to>
    <xdr:sp macro="" textlink="">
      <xdr:nvSpPr>
        <xdr:cNvPr id="234" name="Isosceles Triangle 233">
          <a:extLst>
            <a:ext uri="{FF2B5EF4-FFF2-40B4-BE49-F238E27FC236}">
              <a16:creationId xmlns:a16="http://schemas.microsoft.com/office/drawing/2014/main" id="{94BC182E-B2C7-4F16-B9D7-DCCDEAF57471}"/>
            </a:ext>
          </a:extLst>
        </xdr:cNvPr>
        <xdr:cNvSpPr/>
      </xdr:nvSpPr>
      <xdr:spPr>
        <a:xfrm rot="10800000">
          <a:off x="10616737" y="34440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63</xdr:row>
      <xdr:rowOff>196272</xdr:rowOff>
    </xdr:from>
    <xdr:to>
      <xdr:col>8</xdr:col>
      <xdr:colOff>2320636</xdr:colOff>
      <xdr:row>63</xdr:row>
      <xdr:rowOff>346363</xdr:rowOff>
    </xdr:to>
    <xdr:sp macro="" textlink="">
      <xdr:nvSpPr>
        <xdr:cNvPr id="235" name="Isosceles Triangle 234">
          <a:extLst>
            <a:ext uri="{FF2B5EF4-FFF2-40B4-BE49-F238E27FC236}">
              <a16:creationId xmlns:a16="http://schemas.microsoft.com/office/drawing/2014/main" id="{F2EC0921-05B2-4517-ADAC-AAEBE0EB5F24}"/>
            </a:ext>
          </a:extLst>
        </xdr:cNvPr>
        <xdr:cNvSpPr/>
      </xdr:nvSpPr>
      <xdr:spPr>
        <a:xfrm rot="10800000">
          <a:off x="10616737" y="35012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64</xdr:row>
      <xdr:rowOff>196272</xdr:rowOff>
    </xdr:from>
    <xdr:to>
      <xdr:col>8</xdr:col>
      <xdr:colOff>2320636</xdr:colOff>
      <xdr:row>64</xdr:row>
      <xdr:rowOff>346363</xdr:rowOff>
    </xdr:to>
    <xdr:sp macro="" textlink="">
      <xdr:nvSpPr>
        <xdr:cNvPr id="236" name="Isosceles Triangle 235">
          <a:extLst>
            <a:ext uri="{FF2B5EF4-FFF2-40B4-BE49-F238E27FC236}">
              <a16:creationId xmlns:a16="http://schemas.microsoft.com/office/drawing/2014/main" id="{B1799AFD-C543-4A2C-B3C6-6F22D7EB08B4}"/>
            </a:ext>
          </a:extLst>
        </xdr:cNvPr>
        <xdr:cNvSpPr/>
      </xdr:nvSpPr>
      <xdr:spPr>
        <a:xfrm rot="10800000">
          <a:off x="10616737" y="35583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65</xdr:row>
      <xdr:rowOff>196272</xdr:rowOff>
    </xdr:from>
    <xdr:to>
      <xdr:col>8</xdr:col>
      <xdr:colOff>2320636</xdr:colOff>
      <xdr:row>65</xdr:row>
      <xdr:rowOff>346363</xdr:rowOff>
    </xdr:to>
    <xdr:sp macro="" textlink="">
      <xdr:nvSpPr>
        <xdr:cNvPr id="237" name="Isosceles Triangle 236">
          <a:extLst>
            <a:ext uri="{FF2B5EF4-FFF2-40B4-BE49-F238E27FC236}">
              <a16:creationId xmlns:a16="http://schemas.microsoft.com/office/drawing/2014/main" id="{512AE498-A8A7-4283-A4BD-FFEDA3AD2C3A}"/>
            </a:ext>
          </a:extLst>
        </xdr:cNvPr>
        <xdr:cNvSpPr/>
      </xdr:nvSpPr>
      <xdr:spPr>
        <a:xfrm rot="10800000">
          <a:off x="10616737" y="36155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61</xdr:row>
      <xdr:rowOff>196272</xdr:rowOff>
    </xdr:from>
    <xdr:to>
      <xdr:col>10</xdr:col>
      <xdr:colOff>2320636</xdr:colOff>
      <xdr:row>61</xdr:row>
      <xdr:rowOff>346363</xdr:rowOff>
    </xdr:to>
    <xdr:sp macro="" textlink="">
      <xdr:nvSpPr>
        <xdr:cNvPr id="238" name="Isosceles Triangle 237">
          <a:extLst>
            <a:ext uri="{FF2B5EF4-FFF2-40B4-BE49-F238E27FC236}">
              <a16:creationId xmlns:a16="http://schemas.microsoft.com/office/drawing/2014/main" id="{DE3F52B6-E464-443D-8699-ECC642DDDE09}"/>
            </a:ext>
          </a:extLst>
        </xdr:cNvPr>
        <xdr:cNvSpPr/>
      </xdr:nvSpPr>
      <xdr:spPr>
        <a:xfrm rot="10800000">
          <a:off x="14083837" y="33869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239" name="Isosceles Triangle 238">
          <a:extLst>
            <a:ext uri="{FF2B5EF4-FFF2-40B4-BE49-F238E27FC236}">
              <a16:creationId xmlns:a16="http://schemas.microsoft.com/office/drawing/2014/main" id="{E249E41D-C9A7-4110-8F45-0BC6128B8974}"/>
            </a:ext>
          </a:extLst>
        </xdr:cNvPr>
        <xdr:cNvSpPr/>
      </xdr:nvSpPr>
      <xdr:spPr>
        <a:xfrm rot="10800000">
          <a:off x="14083837" y="34440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240" name="Isosceles Triangle 239">
          <a:extLst>
            <a:ext uri="{FF2B5EF4-FFF2-40B4-BE49-F238E27FC236}">
              <a16:creationId xmlns:a16="http://schemas.microsoft.com/office/drawing/2014/main" id="{C4F39226-1EA5-484D-9811-905915D32153}"/>
            </a:ext>
          </a:extLst>
        </xdr:cNvPr>
        <xdr:cNvSpPr/>
      </xdr:nvSpPr>
      <xdr:spPr>
        <a:xfrm rot="10800000">
          <a:off x="14083837" y="35012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241" name="Isosceles Triangle 240">
          <a:extLst>
            <a:ext uri="{FF2B5EF4-FFF2-40B4-BE49-F238E27FC236}">
              <a16:creationId xmlns:a16="http://schemas.microsoft.com/office/drawing/2014/main" id="{23D2163E-BBC6-42BE-B040-E064824A961F}"/>
            </a:ext>
          </a:extLst>
        </xdr:cNvPr>
        <xdr:cNvSpPr/>
      </xdr:nvSpPr>
      <xdr:spPr>
        <a:xfrm rot="10800000">
          <a:off x="14083837" y="35583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242" name="Isosceles Triangle 241">
          <a:extLst>
            <a:ext uri="{FF2B5EF4-FFF2-40B4-BE49-F238E27FC236}">
              <a16:creationId xmlns:a16="http://schemas.microsoft.com/office/drawing/2014/main" id="{7BC57723-D0D7-4F9F-92F6-0D73D547670E}"/>
            </a:ext>
          </a:extLst>
        </xdr:cNvPr>
        <xdr:cNvSpPr/>
      </xdr:nvSpPr>
      <xdr:spPr>
        <a:xfrm rot="10800000">
          <a:off x="14083837" y="36155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55</xdr:row>
      <xdr:rowOff>196272</xdr:rowOff>
    </xdr:from>
    <xdr:to>
      <xdr:col>8</xdr:col>
      <xdr:colOff>2320636</xdr:colOff>
      <xdr:row>55</xdr:row>
      <xdr:rowOff>346363</xdr:rowOff>
    </xdr:to>
    <xdr:sp macro="" textlink="">
      <xdr:nvSpPr>
        <xdr:cNvPr id="243" name="Isosceles Triangle 242">
          <a:extLst>
            <a:ext uri="{FF2B5EF4-FFF2-40B4-BE49-F238E27FC236}">
              <a16:creationId xmlns:a16="http://schemas.microsoft.com/office/drawing/2014/main" id="{00F85F3A-D76B-4418-9E9B-ACCBC8858159}"/>
            </a:ext>
          </a:extLst>
        </xdr:cNvPr>
        <xdr:cNvSpPr/>
      </xdr:nvSpPr>
      <xdr:spPr>
        <a:xfrm rot="10800000">
          <a:off x="10616737" y="30440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56</xdr:row>
      <xdr:rowOff>196272</xdr:rowOff>
    </xdr:from>
    <xdr:to>
      <xdr:col>8</xdr:col>
      <xdr:colOff>2320636</xdr:colOff>
      <xdr:row>56</xdr:row>
      <xdr:rowOff>346363</xdr:rowOff>
    </xdr:to>
    <xdr:sp macro="" textlink="">
      <xdr:nvSpPr>
        <xdr:cNvPr id="244" name="Isosceles Triangle 243">
          <a:extLst>
            <a:ext uri="{FF2B5EF4-FFF2-40B4-BE49-F238E27FC236}">
              <a16:creationId xmlns:a16="http://schemas.microsoft.com/office/drawing/2014/main" id="{D20A16D6-D008-4DB1-8527-9B7C167F7180}"/>
            </a:ext>
          </a:extLst>
        </xdr:cNvPr>
        <xdr:cNvSpPr/>
      </xdr:nvSpPr>
      <xdr:spPr>
        <a:xfrm rot="10800000">
          <a:off x="10616737" y="31011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57</xdr:row>
      <xdr:rowOff>196272</xdr:rowOff>
    </xdr:from>
    <xdr:to>
      <xdr:col>8</xdr:col>
      <xdr:colOff>2320636</xdr:colOff>
      <xdr:row>57</xdr:row>
      <xdr:rowOff>346363</xdr:rowOff>
    </xdr:to>
    <xdr:sp macro="" textlink="">
      <xdr:nvSpPr>
        <xdr:cNvPr id="245" name="Isosceles Triangle 244">
          <a:extLst>
            <a:ext uri="{FF2B5EF4-FFF2-40B4-BE49-F238E27FC236}">
              <a16:creationId xmlns:a16="http://schemas.microsoft.com/office/drawing/2014/main" id="{E6972D95-BEA6-4CF9-8A7F-2C97AFA12B76}"/>
            </a:ext>
          </a:extLst>
        </xdr:cNvPr>
        <xdr:cNvSpPr/>
      </xdr:nvSpPr>
      <xdr:spPr>
        <a:xfrm rot="10800000">
          <a:off x="10616737" y="31583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58</xdr:row>
      <xdr:rowOff>196272</xdr:rowOff>
    </xdr:from>
    <xdr:to>
      <xdr:col>8</xdr:col>
      <xdr:colOff>2320636</xdr:colOff>
      <xdr:row>58</xdr:row>
      <xdr:rowOff>346363</xdr:rowOff>
    </xdr:to>
    <xdr:sp macro="" textlink="">
      <xdr:nvSpPr>
        <xdr:cNvPr id="246" name="Isosceles Triangle 245">
          <a:extLst>
            <a:ext uri="{FF2B5EF4-FFF2-40B4-BE49-F238E27FC236}">
              <a16:creationId xmlns:a16="http://schemas.microsoft.com/office/drawing/2014/main" id="{F315F105-1A1C-4C79-8D71-0A7B50B25E9B}"/>
            </a:ext>
          </a:extLst>
        </xdr:cNvPr>
        <xdr:cNvSpPr/>
      </xdr:nvSpPr>
      <xdr:spPr>
        <a:xfrm rot="10800000">
          <a:off x="10616737" y="32154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59</xdr:row>
      <xdr:rowOff>196272</xdr:rowOff>
    </xdr:from>
    <xdr:to>
      <xdr:col>8</xdr:col>
      <xdr:colOff>2320636</xdr:colOff>
      <xdr:row>59</xdr:row>
      <xdr:rowOff>346363</xdr:rowOff>
    </xdr:to>
    <xdr:sp macro="" textlink="">
      <xdr:nvSpPr>
        <xdr:cNvPr id="247" name="Isosceles Triangle 246">
          <a:extLst>
            <a:ext uri="{FF2B5EF4-FFF2-40B4-BE49-F238E27FC236}">
              <a16:creationId xmlns:a16="http://schemas.microsoft.com/office/drawing/2014/main" id="{9038256B-7F09-4797-9F3F-62F79696676A}"/>
            </a:ext>
          </a:extLst>
        </xdr:cNvPr>
        <xdr:cNvSpPr/>
      </xdr:nvSpPr>
      <xdr:spPr>
        <a:xfrm rot="10800000">
          <a:off x="10616737" y="32726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55</xdr:row>
      <xdr:rowOff>196272</xdr:rowOff>
    </xdr:from>
    <xdr:to>
      <xdr:col>10</xdr:col>
      <xdr:colOff>2320636</xdr:colOff>
      <xdr:row>55</xdr:row>
      <xdr:rowOff>346363</xdr:rowOff>
    </xdr:to>
    <xdr:sp macro="" textlink="">
      <xdr:nvSpPr>
        <xdr:cNvPr id="248" name="Isosceles Triangle 247">
          <a:extLst>
            <a:ext uri="{FF2B5EF4-FFF2-40B4-BE49-F238E27FC236}">
              <a16:creationId xmlns:a16="http://schemas.microsoft.com/office/drawing/2014/main" id="{64434480-4DA3-4B60-AF89-069D0616BD72}"/>
            </a:ext>
          </a:extLst>
        </xdr:cNvPr>
        <xdr:cNvSpPr/>
      </xdr:nvSpPr>
      <xdr:spPr>
        <a:xfrm rot="10800000">
          <a:off x="14083837" y="30440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56</xdr:row>
      <xdr:rowOff>196272</xdr:rowOff>
    </xdr:from>
    <xdr:to>
      <xdr:col>10</xdr:col>
      <xdr:colOff>2320636</xdr:colOff>
      <xdr:row>56</xdr:row>
      <xdr:rowOff>346363</xdr:rowOff>
    </xdr:to>
    <xdr:sp macro="" textlink="">
      <xdr:nvSpPr>
        <xdr:cNvPr id="249" name="Isosceles Triangle 248">
          <a:extLst>
            <a:ext uri="{FF2B5EF4-FFF2-40B4-BE49-F238E27FC236}">
              <a16:creationId xmlns:a16="http://schemas.microsoft.com/office/drawing/2014/main" id="{791A5370-7CE0-4705-930E-8BF48BEAAD5C}"/>
            </a:ext>
          </a:extLst>
        </xdr:cNvPr>
        <xdr:cNvSpPr/>
      </xdr:nvSpPr>
      <xdr:spPr>
        <a:xfrm rot="10800000">
          <a:off x="14083837" y="31011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57</xdr:row>
      <xdr:rowOff>196272</xdr:rowOff>
    </xdr:from>
    <xdr:to>
      <xdr:col>10</xdr:col>
      <xdr:colOff>2320636</xdr:colOff>
      <xdr:row>57</xdr:row>
      <xdr:rowOff>346363</xdr:rowOff>
    </xdr:to>
    <xdr:sp macro="" textlink="">
      <xdr:nvSpPr>
        <xdr:cNvPr id="250" name="Isosceles Triangle 249">
          <a:extLst>
            <a:ext uri="{FF2B5EF4-FFF2-40B4-BE49-F238E27FC236}">
              <a16:creationId xmlns:a16="http://schemas.microsoft.com/office/drawing/2014/main" id="{293F2DBC-D82F-4094-A741-F793DB87420E}"/>
            </a:ext>
          </a:extLst>
        </xdr:cNvPr>
        <xdr:cNvSpPr/>
      </xdr:nvSpPr>
      <xdr:spPr>
        <a:xfrm rot="10800000">
          <a:off x="14083837" y="31583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251" name="Isosceles Triangle 250">
          <a:extLst>
            <a:ext uri="{FF2B5EF4-FFF2-40B4-BE49-F238E27FC236}">
              <a16:creationId xmlns:a16="http://schemas.microsoft.com/office/drawing/2014/main" id="{D85FDFF2-F4B6-4653-A2EB-71E267E45EFE}"/>
            </a:ext>
          </a:extLst>
        </xdr:cNvPr>
        <xdr:cNvSpPr/>
      </xdr:nvSpPr>
      <xdr:spPr>
        <a:xfrm rot="10800000">
          <a:off x="14083837" y="321545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59</xdr:row>
      <xdr:rowOff>196272</xdr:rowOff>
    </xdr:from>
    <xdr:to>
      <xdr:col>10</xdr:col>
      <xdr:colOff>2320636</xdr:colOff>
      <xdr:row>59</xdr:row>
      <xdr:rowOff>346363</xdr:rowOff>
    </xdr:to>
    <xdr:sp macro="" textlink="">
      <xdr:nvSpPr>
        <xdr:cNvPr id="252" name="Isosceles Triangle 251">
          <a:extLst>
            <a:ext uri="{FF2B5EF4-FFF2-40B4-BE49-F238E27FC236}">
              <a16:creationId xmlns:a16="http://schemas.microsoft.com/office/drawing/2014/main" id="{67C982A1-6D45-436C-A29F-0B0E4E45BF5B}"/>
            </a:ext>
          </a:extLst>
        </xdr:cNvPr>
        <xdr:cNvSpPr/>
      </xdr:nvSpPr>
      <xdr:spPr>
        <a:xfrm rot="10800000">
          <a:off x="14083837" y="3272605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6</xdr:row>
      <xdr:rowOff>196274</xdr:rowOff>
    </xdr:from>
    <xdr:to>
      <xdr:col>9</xdr:col>
      <xdr:colOff>877456</xdr:colOff>
      <xdr:row>6</xdr:row>
      <xdr:rowOff>346365</xdr:rowOff>
    </xdr:to>
    <xdr:sp macro="" textlink="">
      <xdr:nvSpPr>
        <xdr:cNvPr id="253" name="Isosceles Triangle 252">
          <a:extLst>
            <a:ext uri="{FF2B5EF4-FFF2-40B4-BE49-F238E27FC236}">
              <a16:creationId xmlns:a16="http://schemas.microsoft.com/office/drawing/2014/main" id="{F17E7D17-9D0E-4B92-9712-046AF80C3ADE}"/>
            </a:ext>
          </a:extLst>
        </xdr:cNvPr>
        <xdr:cNvSpPr/>
      </xdr:nvSpPr>
      <xdr:spPr>
        <a:xfrm rot="10800000">
          <a:off x="11634817" y="2436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12</xdr:row>
      <xdr:rowOff>184727</xdr:rowOff>
    </xdr:from>
    <xdr:to>
      <xdr:col>9</xdr:col>
      <xdr:colOff>877455</xdr:colOff>
      <xdr:row>12</xdr:row>
      <xdr:rowOff>334818</xdr:rowOff>
    </xdr:to>
    <xdr:sp macro="" textlink="">
      <xdr:nvSpPr>
        <xdr:cNvPr id="254" name="Isosceles Triangle 253">
          <a:extLst>
            <a:ext uri="{FF2B5EF4-FFF2-40B4-BE49-F238E27FC236}">
              <a16:creationId xmlns:a16="http://schemas.microsoft.com/office/drawing/2014/main" id="{127AE62A-EA3C-4620-8106-97DCDBE1968F}"/>
            </a:ext>
          </a:extLst>
        </xdr:cNvPr>
        <xdr:cNvSpPr/>
      </xdr:nvSpPr>
      <xdr:spPr>
        <a:xfrm rot="10800000">
          <a:off x="11634816" y="5854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18</xdr:row>
      <xdr:rowOff>184727</xdr:rowOff>
    </xdr:from>
    <xdr:to>
      <xdr:col>9</xdr:col>
      <xdr:colOff>877455</xdr:colOff>
      <xdr:row>18</xdr:row>
      <xdr:rowOff>334818</xdr:rowOff>
    </xdr:to>
    <xdr:sp macro="" textlink="">
      <xdr:nvSpPr>
        <xdr:cNvPr id="255" name="Isosceles Triangle 254">
          <a:extLst>
            <a:ext uri="{FF2B5EF4-FFF2-40B4-BE49-F238E27FC236}">
              <a16:creationId xmlns:a16="http://schemas.microsoft.com/office/drawing/2014/main" id="{154D3ADB-8505-4FCE-A843-3B0F4C9240BF}"/>
            </a:ext>
          </a:extLst>
        </xdr:cNvPr>
        <xdr:cNvSpPr/>
      </xdr:nvSpPr>
      <xdr:spPr>
        <a:xfrm rot="10800000">
          <a:off x="11634816" y="9283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24</xdr:row>
      <xdr:rowOff>184727</xdr:rowOff>
    </xdr:from>
    <xdr:to>
      <xdr:col>9</xdr:col>
      <xdr:colOff>877455</xdr:colOff>
      <xdr:row>24</xdr:row>
      <xdr:rowOff>334818</xdr:rowOff>
    </xdr:to>
    <xdr:sp macro="" textlink="">
      <xdr:nvSpPr>
        <xdr:cNvPr id="256" name="Isosceles Triangle 255">
          <a:extLst>
            <a:ext uri="{FF2B5EF4-FFF2-40B4-BE49-F238E27FC236}">
              <a16:creationId xmlns:a16="http://schemas.microsoft.com/office/drawing/2014/main" id="{0C951035-5F45-4395-B0B4-9E97A7BFD906}"/>
            </a:ext>
          </a:extLst>
        </xdr:cNvPr>
        <xdr:cNvSpPr/>
      </xdr:nvSpPr>
      <xdr:spPr>
        <a:xfrm rot="10800000">
          <a:off x="11634816" y="12712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30</xdr:row>
      <xdr:rowOff>184727</xdr:rowOff>
    </xdr:from>
    <xdr:to>
      <xdr:col>9</xdr:col>
      <xdr:colOff>877455</xdr:colOff>
      <xdr:row>30</xdr:row>
      <xdr:rowOff>334818</xdr:rowOff>
    </xdr:to>
    <xdr:sp macro="" textlink="">
      <xdr:nvSpPr>
        <xdr:cNvPr id="257" name="Isosceles Triangle 256">
          <a:extLst>
            <a:ext uri="{FF2B5EF4-FFF2-40B4-BE49-F238E27FC236}">
              <a16:creationId xmlns:a16="http://schemas.microsoft.com/office/drawing/2014/main" id="{3BF3A44A-FC60-4FDA-A128-C9710B6333C6}"/>
            </a:ext>
          </a:extLst>
        </xdr:cNvPr>
        <xdr:cNvSpPr/>
      </xdr:nvSpPr>
      <xdr:spPr>
        <a:xfrm rot="10800000">
          <a:off x="11634816" y="16141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36</xdr:row>
      <xdr:rowOff>184727</xdr:rowOff>
    </xdr:from>
    <xdr:to>
      <xdr:col>9</xdr:col>
      <xdr:colOff>877455</xdr:colOff>
      <xdr:row>36</xdr:row>
      <xdr:rowOff>334818</xdr:rowOff>
    </xdr:to>
    <xdr:sp macro="" textlink="">
      <xdr:nvSpPr>
        <xdr:cNvPr id="258" name="Isosceles Triangle 257">
          <a:extLst>
            <a:ext uri="{FF2B5EF4-FFF2-40B4-BE49-F238E27FC236}">
              <a16:creationId xmlns:a16="http://schemas.microsoft.com/office/drawing/2014/main" id="{69DC5753-340F-43D0-BEF1-2FC91DCC6A2B}"/>
            </a:ext>
          </a:extLst>
        </xdr:cNvPr>
        <xdr:cNvSpPr/>
      </xdr:nvSpPr>
      <xdr:spPr>
        <a:xfrm rot="10800000">
          <a:off x="11634816" y="19570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42</xdr:row>
      <xdr:rowOff>184727</xdr:rowOff>
    </xdr:from>
    <xdr:to>
      <xdr:col>9</xdr:col>
      <xdr:colOff>877455</xdr:colOff>
      <xdr:row>42</xdr:row>
      <xdr:rowOff>334818</xdr:rowOff>
    </xdr:to>
    <xdr:sp macro="" textlink="">
      <xdr:nvSpPr>
        <xdr:cNvPr id="259" name="Isosceles Triangle 258">
          <a:extLst>
            <a:ext uri="{FF2B5EF4-FFF2-40B4-BE49-F238E27FC236}">
              <a16:creationId xmlns:a16="http://schemas.microsoft.com/office/drawing/2014/main" id="{9B2357F8-B273-4D67-BEC7-6A26FAB4634B}"/>
            </a:ext>
          </a:extLst>
        </xdr:cNvPr>
        <xdr:cNvSpPr/>
      </xdr:nvSpPr>
      <xdr:spPr>
        <a:xfrm rot="10800000">
          <a:off x="11634816" y="22999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48</xdr:row>
      <xdr:rowOff>184727</xdr:rowOff>
    </xdr:from>
    <xdr:to>
      <xdr:col>9</xdr:col>
      <xdr:colOff>877455</xdr:colOff>
      <xdr:row>48</xdr:row>
      <xdr:rowOff>334818</xdr:rowOff>
    </xdr:to>
    <xdr:sp macro="" textlink="">
      <xdr:nvSpPr>
        <xdr:cNvPr id="260" name="Isosceles Triangle 259">
          <a:extLst>
            <a:ext uri="{FF2B5EF4-FFF2-40B4-BE49-F238E27FC236}">
              <a16:creationId xmlns:a16="http://schemas.microsoft.com/office/drawing/2014/main" id="{2A694048-9B9B-4EE2-B0CD-192E5E353643}"/>
            </a:ext>
          </a:extLst>
        </xdr:cNvPr>
        <xdr:cNvSpPr/>
      </xdr:nvSpPr>
      <xdr:spPr>
        <a:xfrm rot="10800000">
          <a:off x="11634816" y="26428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54</xdr:row>
      <xdr:rowOff>184727</xdr:rowOff>
    </xdr:from>
    <xdr:to>
      <xdr:col>9</xdr:col>
      <xdr:colOff>877455</xdr:colOff>
      <xdr:row>54</xdr:row>
      <xdr:rowOff>334818</xdr:rowOff>
    </xdr:to>
    <xdr:sp macro="" textlink="">
      <xdr:nvSpPr>
        <xdr:cNvPr id="261" name="Isosceles Triangle 260">
          <a:extLst>
            <a:ext uri="{FF2B5EF4-FFF2-40B4-BE49-F238E27FC236}">
              <a16:creationId xmlns:a16="http://schemas.microsoft.com/office/drawing/2014/main" id="{12FC68CE-F249-419A-B4A1-B029F8E9B777}"/>
            </a:ext>
          </a:extLst>
        </xdr:cNvPr>
        <xdr:cNvSpPr/>
      </xdr:nvSpPr>
      <xdr:spPr>
        <a:xfrm rot="10800000">
          <a:off x="11634816" y="29857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60</xdr:row>
      <xdr:rowOff>184727</xdr:rowOff>
    </xdr:from>
    <xdr:to>
      <xdr:col>9</xdr:col>
      <xdr:colOff>877455</xdr:colOff>
      <xdr:row>60</xdr:row>
      <xdr:rowOff>334818</xdr:rowOff>
    </xdr:to>
    <xdr:sp macro="" textlink="">
      <xdr:nvSpPr>
        <xdr:cNvPr id="262" name="Isosceles Triangle 261">
          <a:extLst>
            <a:ext uri="{FF2B5EF4-FFF2-40B4-BE49-F238E27FC236}">
              <a16:creationId xmlns:a16="http://schemas.microsoft.com/office/drawing/2014/main" id="{CF5827D7-AD9D-41B4-8BD4-60BC6F8D98A3}"/>
            </a:ext>
          </a:extLst>
        </xdr:cNvPr>
        <xdr:cNvSpPr/>
      </xdr:nvSpPr>
      <xdr:spPr>
        <a:xfrm rot="10800000">
          <a:off x="11634816" y="33286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66</xdr:row>
      <xdr:rowOff>184727</xdr:rowOff>
    </xdr:from>
    <xdr:to>
      <xdr:col>9</xdr:col>
      <xdr:colOff>877455</xdr:colOff>
      <xdr:row>66</xdr:row>
      <xdr:rowOff>334818</xdr:rowOff>
    </xdr:to>
    <xdr:sp macro="" textlink="">
      <xdr:nvSpPr>
        <xdr:cNvPr id="263" name="Isosceles Triangle 262">
          <a:extLst>
            <a:ext uri="{FF2B5EF4-FFF2-40B4-BE49-F238E27FC236}">
              <a16:creationId xmlns:a16="http://schemas.microsoft.com/office/drawing/2014/main" id="{10DB372F-BAD3-444B-95C7-1A8E31C72209}"/>
            </a:ext>
          </a:extLst>
        </xdr:cNvPr>
        <xdr:cNvSpPr/>
      </xdr:nvSpPr>
      <xdr:spPr>
        <a:xfrm rot="10800000">
          <a:off x="11634816" y="36715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72</xdr:row>
      <xdr:rowOff>184727</xdr:rowOff>
    </xdr:from>
    <xdr:to>
      <xdr:col>9</xdr:col>
      <xdr:colOff>877455</xdr:colOff>
      <xdr:row>72</xdr:row>
      <xdr:rowOff>334818</xdr:rowOff>
    </xdr:to>
    <xdr:sp macro="" textlink="">
      <xdr:nvSpPr>
        <xdr:cNvPr id="264" name="Isosceles Triangle 263">
          <a:extLst>
            <a:ext uri="{FF2B5EF4-FFF2-40B4-BE49-F238E27FC236}">
              <a16:creationId xmlns:a16="http://schemas.microsoft.com/office/drawing/2014/main" id="{F0367FF8-F6E0-4423-9629-EB40F7B91CF2}"/>
            </a:ext>
          </a:extLst>
        </xdr:cNvPr>
        <xdr:cNvSpPr/>
      </xdr:nvSpPr>
      <xdr:spPr>
        <a:xfrm rot="10800000">
          <a:off x="11634816" y="40144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78</xdr:row>
      <xdr:rowOff>184727</xdr:rowOff>
    </xdr:from>
    <xdr:to>
      <xdr:col>9</xdr:col>
      <xdr:colOff>877455</xdr:colOff>
      <xdr:row>78</xdr:row>
      <xdr:rowOff>334818</xdr:rowOff>
    </xdr:to>
    <xdr:sp macro="" textlink="">
      <xdr:nvSpPr>
        <xdr:cNvPr id="265" name="Isosceles Triangle 264">
          <a:extLst>
            <a:ext uri="{FF2B5EF4-FFF2-40B4-BE49-F238E27FC236}">
              <a16:creationId xmlns:a16="http://schemas.microsoft.com/office/drawing/2014/main" id="{6B7B682F-F83C-4150-AAFF-A075BF3F4373}"/>
            </a:ext>
          </a:extLst>
        </xdr:cNvPr>
        <xdr:cNvSpPr/>
      </xdr:nvSpPr>
      <xdr:spPr>
        <a:xfrm rot="10800000">
          <a:off x="11634816" y="43573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84</xdr:row>
      <xdr:rowOff>184727</xdr:rowOff>
    </xdr:from>
    <xdr:to>
      <xdr:col>9</xdr:col>
      <xdr:colOff>877455</xdr:colOff>
      <xdr:row>84</xdr:row>
      <xdr:rowOff>334818</xdr:rowOff>
    </xdr:to>
    <xdr:sp macro="" textlink="">
      <xdr:nvSpPr>
        <xdr:cNvPr id="266" name="Isosceles Triangle 265">
          <a:extLst>
            <a:ext uri="{FF2B5EF4-FFF2-40B4-BE49-F238E27FC236}">
              <a16:creationId xmlns:a16="http://schemas.microsoft.com/office/drawing/2014/main" id="{F612D47A-F1CF-4294-8BFF-5030F0FFC362}"/>
            </a:ext>
          </a:extLst>
        </xdr:cNvPr>
        <xdr:cNvSpPr/>
      </xdr:nvSpPr>
      <xdr:spPr>
        <a:xfrm rot="10800000">
          <a:off x="11634816" y="47002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90</xdr:row>
      <xdr:rowOff>184727</xdr:rowOff>
    </xdr:from>
    <xdr:to>
      <xdr:col>9</xdr:col>
      <xdr:colOff>877455</xdr:colOff>
      <xdr:row>90</xdr:row>
      <xdr:rowOff>334818</xdr:rowOff>
    </xdr:to>
    <xdr:sp macro="" textlink="">
      <xdr:nvSpPr>
        <xdr:cNvPr id="267" name="Isosceles Triangle 266">
          <a:extLst>
            <a:ext uri="{FF2B5EF4-FFF2-40B4-BE49-F238E27FC236}">
              <a16:creationId xmlns:a16="http://schemas.microsoft.com/office/drawing/2014/main" id="{E4021E8A-52F7-49AA-8AD1-E6404B5A7099}"/>
            </a:ext>
          </a:extLst>
        </xdr:cNvPr>
        <xdr:cNvSpPr/>
      </xdr:nvSpPr>
      <xdr:spPr>
        <a:xfrm rot="10800000">
          <a:off x="11634816" y="50431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96</xdr:row>
      <xdr:rowOff>184727</xdr:rowOff>
    </xdr:from>
    <xdr:to>
      <xdr:col>9</xdr:col>
      <xdr:colOff>877455</xdr:colOff>
      <xdr:row>96</xdr:row>
      <xdr:rowOff>334818</xdr:rowOff>
    </xdr:to>
    <xdr:sp macro="" textlink="">
      <xdr:nvSpPr>
        <xdr:cNvPr id="268" name="Isosceles Triangle 267">
          <a:extLst>
            <a:ext uri="{FF2B5EF4-FFF2-40B4-BE49-F238E27FC236}">
              <a16:creationId xmlns:a16="http://schemas.microsoft.com/office/drawing/2014/main" id="{D5EA73D5-0381-413E-AFF2-058BFD7601AA}"/>
            </a:ext>
          </a:extLst>
        </xdr:cNvPr>
        <xdr:cNvSpPr/>
      </xdr:nvSpPr>
      <xdr:spPr>
        <a:xfrm rot="10800000">
          <a:off x="11634816" y="53860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102</xdr:row>
      <xdr:rowOff>184727</xdr:rowOff>
    </xdr:from>
    <xdr:to>
      <xdr:col>9</xdr:col>
      <xdr:colOff>877455</xdr:colOff>
      <xdr:row>102</xdr:row>
      <xdr:rowOff>334818</xdr:rowOff>
    </xdr:to>
    <xdr:sp macro="" textlink="">
      <xdr:nvSpPr>
        <xdr:cNvPr id="269" name="Isosceles Triangle 268">
          <a:extLst>
            <a:ext uri="{FF2B5EF4-FFF2-40B4-BE49-F238E27FC236}">
              <a16:creationId xmlns:a16="http://schemas.microsoft.com/office/drawing/2014/main" id="{2EF5160D-DE6D-4FA5-9BA0-919071B4BCF8}"/>
            </a:ext>
          </a:extLst>
        </xdr:cNvPr>
        <xdr:cNvSpPr/>
      </xdr:nvSpPr>
      <xdr:spPr>
        <a:xfrm rot="10800000">
          <a:off x="11634816" y="57289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108</xdr:row>
      <xdr:rowOff>184727</xdr:rowOff>
    </xdr:from>
    <xdr:to>
      <xdr:col>9</xdr:col>
      <xdr:colOff>877455</xdr:colOff>
      <xdr:row>108</xdr:row>
      <xdr:rowOff>334818</xdr:rowOff>
    </xdr:to>
    <xdr:sp macro="" textlink="">
      <xdr:nvSpPr>
        <xdr:cNvPr id="270" name="Isosceles Triangle 269">
          <a:extLst>
            <a:ext uri="{FF2B5EF4-FFF2-40B4-BE49-F238E27FC236}">
              <a16:creationId xmlns:a16="http://schemas.microsoft.com/office/drawing/2014/main" id="{83D7B359-0767-4096-82B7-3BF77712F815}"/>
            </a:ext>
          </a:extLst>
        </xdr:cNvPr>
        <xdr:cNvSpPr/>
      </xdr:nvSpPr>
      <xdr:spPr>
        <a:xfrm rot="10800000">
          <a:off x="11634816" y="60718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120</xdr:row>
      <xdr:rowOff>184727</xdr:rowOff>
    </xdr:from>
    <xdr:to>
      <xdr:col>9</xdr:col>
      <xdr:colOff>877455</xdr:colOff>
      <xdr:row>120</xdr:row>
      <xdr:rowOff>334818</xdr:rowOff>
    </xdr:to>
    <xdr:sp macro="" textlink="">
      <xdr:nvSpPr>
        <xdr:cNvPr id="271" name="Isosceles Triangle 270">
          <a:extLst>
            <a:ext uri="{FF2B5EF4-FFF2-40B4-BE49-F238E27FC236}">
              <a16:creationId xmlns:a16="http://schemas.microsoft.com/office/drawing/2014/main" id="{5CBF7323-606F-4917-B58F-6B75E16D54A0}"/>
            </a:ext>
          </a:extLst>
        </xdr:cNvPr>
        <xdr:cNvSpPr/>
      </xdr:nvSpPr>
      <xdr:spPr>
        <a:xfrm rot="10800000">
          <a:off x="11634816" y="67576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114</xdr:row>
      <xdr:rowOff>184727</xdr:rowOff>
    </xdr:from>
    <xdr:to>
      <xdr:col>9</xdr:col>
      <xdr:colOff>877455</xdr:colOff>
      <xdr:row>114</xdr:row>
      <xdr:rowOff>334818</xdr:rowOff>
    </xdr:to>
    <xdr:sp macro="" textlink="">
      <xdr:nvSpPr>
        <xdr:cNvPr id="272" name="Isosceles Triangle 271">
          <a:extLst>
            <a:ext uri="{FF2B5EF4-FFF2-40B4-BE49-F238E27FC236}">
              <a16:creationId xmlns:a16="http://schemas.microsoft.com/office/drawing/2014/main" id="{AEE6444F-F606-4999-A54D-2E7852BC4E39}"/>
            </a:ext>
          </a:extLst>
        </xdr:cNvPr>
        <xdr:cNvSpPr/>
      </xdr:nvSpPr>
      <xdr:spPr>
        <a:xfrm rot="10800000">
          <a:off x="11634816" y="64147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126</xdr:row>
      <xdr:rowOff>184727</xdr:rowOff>
    </xdr:from>
    <xdr:to>
      <xdr:col>9</xdr:col>
      <xdr:colOff>877455</xdr:colOff>
      <xdr:row>126</xdr:row>
      <xdr:rowOff>334818</xdr:rowOff>
    </xdr:to>
    <xdr:sp macro="" textlink="">
      <xdr:nvSpPr>
        <xdr:cNvPr id="273" name="Isosceles Triangle 272">
          <a:extLst>
            <a:ext uri="{FF2B5EF4-FFF2-40B4-BE49-F238E27FC236}">
              <a16:creationId xmlns:a16="http://schemas.microsoft.com/office/drawing/2014/main" id="{36BB7CE5-2F80-4154-936F-20C56479C8DF}"/>
            </a:ext>
          </a:extLst>
        </xdr:cNvPr>
        <xdr:cNvSpPr/>
      </xdr:nvSpPr>
      <xdr:spPr>
        <a:xfrm rot="10800000">
          <a:off x="11634816" y="71005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132</xdr:row>
      <xdr:rowOff>184727</xdr:rowOff>
    </xdr:from>
    <xdr:to>
      <xdr:col>9</xdr:col>
      <xdr:colOff>877455</xdr:colOff>
      <xdr:row>132</xdr:row>
      <xdr:rowOff>334818</xdr:rowOff>
    </xdr:to>
    <xdr:sp macro="" textlink="">
      <xdr:nvSpPr>
        <xdr:cNvPr id="274" name="Isosceles Triangle 273">
          <a:extLst>
            <a:ext uri="{FF2B5EF4-FFF2-40B4-BE49-F238E27FC236}">
              <a16:creationId xmlns:a16="http://schemas.microsoft.com/office/drawing/2014/main" id="{AD10E0B7-A318-4A15-AF8B-6DE57483B542}"/>
            </a:ext>
          </a:extLst>
        </xdr:cNvPr>
        <xdr:cNvSpPr/>
      </xdr:nvSpPr>
      <xdr:spPr>
        <a:xfrm rot="10800000">
          <a:off x="11634816" y="74434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138</xdr:row>
      <xdr:rowOff>184727</xdr:rowOff>
    </xdr:from>
    <xdr:to>
      <xdr:col>9</xdr:col>
      <xdr:colOff>877455</xdr:colOff>
      <xdr:row>138</xdr:row>
      <xdr:rowOff>334818</xdr:rowOff>
    </xdr:to>
    <xdr:sp macro="" textlink="">
      <xdr:nvSpPr>
        <xdr:cNvPr id="275" name="Isosceles Triangle 274">
          <a:extLst>
            <a:ext uri="{FF2B5EF4-FFF2-40B4-BE49-F238E27FC236}">
              <a16:creationId xmlns:a16="http://schemas.microsoft.com/office/drawing/2014/main" id="{913A6BEE-0EC7-4F04-A692-A0FE97240543}"/>
            </a:ext>
          </a:extLst>
        </xdr:cNvPr>
        <xdr:cNvSpPr/>
      </xdr:nvSpPr>
      <xdr:spPr>
        <a:xfrm rot="10800000">
          <a:off x="11634816" y="77863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144</xdr:row>
      <xdr:rowOff>0</xdr:rowOff>
    </xdr:from>
    <xdr:to>
      <xdr:col>8</xdr:col>
      <xdr:colOff>2320636</xdr:colOff>
      <xdr:row>144</xdr:row>
      <xdr:rowOff>0</xdr:rowOff>
    </xdr:to>
    <xdr:sp macro="" textlink="">
      <xdr:nvSpPr>
        <xdr:cNvPr id="290" name="Isosceles Triangle 289">
          <a:extLst>
            <a:ext uri="{FF2B5EF4-FFF2-40B4-BE49-F238E27FC236}">
              <a16:creationId xmlns:a16="http://schemas.microsoft.com/office/drawing/2014/main" id="{FC95D734-ACC4-4F79-9A3C-CEF6069FBD43}"/>
            </a:ext>
          </a:extLst>
        </xdr:cNvPr>
        <xdr:cNvSpPr/>
      </xdr:nvSpPr>
      <xdr:spPr>
        <a:xfrm rot="10800000">
          <a:off x="10616737" y="98252280"/>
          <a:ext cx="207819" cy="0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144</xdr:row>
      <xdr:rowOff>0</xdr:rowOff>
    </xdr:from>
    <xdr:to>
      <xdr:col>10</xdr:col>
      <xdr:colOff>2320636</xdr:colOff>
      <xdr:row>144</xdr:row>
      <xdr:rowOff>0</xdr:rowOff>
    </xdr:to>
    <xdr:sp macro="" textlink="">
      <xdr:nvSpPr>
        <xdr:cNvPr id="291" name="Isosceles Triangle 290">
          <a:extLst>
            <a:ext uri="{FF2B5EF4-FFF2-40B4-BE49-F238E27FC236}">
              <a16:creationId xmlns:a16="http://schemas.microsoft.com/office/drawing/2014/main" id="{B402A8FE-50EF-49B6-9C45-8EFCBB14EBA8}"/>
            </a:ext>
          </a:extLst>
        </xdr:cNvPr>
        <xdr:cNvSpPr/>
      </xdr:nvSpPr>
      <xdr:spPr>
        <a:xfrm rot="10800000">
          <a:off x="14083837" y="98252280"/>
          <a:ext cx="207819" cy="0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574733</xdr:colOff>
      <xdr:row>4</xdr:row>
      <xdr:rowOff>162122</xdr:rowOff>
    </xdr:from>
    <xdr:to>
      <xdr:col>24</xdr:col>
      <xdr:colOff>230909</xdr:colOff>
      <xdr:row>144</xdr:row>
      <xdr:rowOff>187516</xdr:rowOff>
    </xdr:to>
    <xdr:sp macro="" textlink="">
      <xdr:nvSpPr>
        <xdr:cNvPr id="292" name="Rectangle: Top Corners Rounded 291">
          <a:extLst>
            <a:ext uri="{FF2B5EF4-FFF2-40B4-BE49-F238E27FC236}">
              <a16:creationId xmlns:a16="http://schemas.microsoft.com/office/drawing/2014/main" id="{88B27287-EA1C-40E4-8475-6D769298BD6F}"/>
            </a:ext>
          </a:extLst>
        </xdr:cNvPr>
        <xdr:cNvSpPr/>
      </xdr:nvSpPr>
      <xdr:spPr>
        <a:xfrm rot="16200000">
          <a:off x="-14837176" y="41228031"/>
          <a:ext cx="79832194" cy="265776"/>
        </a:xfrm>
        <a:prstGeom prst="round2SameRect">
          <a:avLst>
            <a:gd name="adj1" fmla="val 5197"/>
            <a:gd name="adj2" fmla="val 20228"/>
          </a:avLst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12</xdr:row>
      <xdr:rowOff>196274</xdr:rowOff>
    </xdr:from>
    <xdr:to>
      <xdr:col>9</xdr:col>
      <xdr:colOff>877456</xdr:colOff>
      <xdr:row>12</xdr:row>
      <xdr:rowOff>346365</xdr:rowOff>
    </xdr:to>
    <xdr:sp macro="" textlink="">
      <xdr:nvSpPr>
        <xdr:cNvPr id="304" name="Isosceles Triangle 303">
          <a:extLst>
            <a:ext uri="{FF2B5EF4-FFF2-40B4-BE49-F238E27FC236}">
              <a16:creationId xmlns:a16="http://schemas.microsoft.com/office/drawing/2014/main" id="{433ACA4C-4D1C-4E7C-BD1D-EC14A89E2544}"/>
            </a:ext>
          </a:extLst>
        </xdr:cNvPr>
        <xdr:cNvSpPr/>
      </xdr:nvSpPr>
      <xdr:spPr>
        <a:xfrm rot="10800000">
          <a:off x="11634817" y="5865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18</xdr:row>
      <xdr:rowOff>196274</xdr:rowOff>
    </xdr:from>
    <xdr:to>
      <xdr:col>9</xdr:col>
      <xdr:colOff>877456</xdr:colOff>
      <xdr:row>18</xdr:row>
      <xdr:rowOff>346365</xdr:rowOff>
    </xdr:to>
    <xdr:sp macro="" textlink="">
      <xdr:nvSpPr>
        <xdr:cNvPr id="305" name="Isosceles Triangle 304">
          <a:extLst>
            <a:ext uri="{FF2B5EF4-FFF2-40B4-BE49-F238E27FC236}">
              <a16:creationId xmlns:a16="http://schemas.microsoft.com/office/drawing/2014/main" id="{5D99337A-A54E-450A-94D0-840621C8F86D}"/>
            </a:ext>
          </a:extLst>
        </xdr:cNvPr>
        <xdr:cNvSpPr/>
      </xdr:nvSpPr>
      <xdr:spPr>
        <a:xfrm rot="10800000">
          <a:off x="11634817" y="9294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24</xdr:row>
      <xdr:rowOff>196274</xdr:rowOff>
    </xdr:from>
    <xdr:to>
      <xdr:col>9</xdr:col>
      <xdr:colOff>877456</xdr:colOff>
      <xdr:row>24</xdr:row>
      <xdr:rowOff>346365</xdr:rowOff>
    </xdr:to>
    <xdr:sp macro="" textlink="">
      <xdr:nvSpPr>
        <xdr:cNvPr id="306" name="Isosceles Triangle 305">
          <a:extLst>
            <a:ext uri="{FF2B5EF4-FFF2-40B4-BE49-F238E27FC236}">
              <a16:creationId xmlns:a16="http://schemas.microsoft.com/office/drawing/2014/main" id="{27E6DF90-78FE-4477-B4C4-1BE072E5931E}"/>
            </a:ext>
          </a:extLst>
        </xdr:cNvPr>
        <xdr:cNvSpPr/>
      </xdr:nvSpPr>
      <xdr:spPr>
        <a:xfrm rot="10800000">
          <a:off x="11634817" y="12723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30</xdr:row>
      <xdr:rowOff>196274</xdr:rowOff>
    </xdr:from>
    <xdr:to>
      <xdr:col>9</xdr:col>
      <xdr:colOff>877456</xdr:colOff>
      <xdr:row>30</xdr:row>
      <xdr:rowOff>346365</xdr:rowOff>
    </xdr:to>
    <xdr:sp macro="" textlink="">
      <xdr:nvSpPr>
        <xdr:cNvPr id="307" name="Isosceles Triangle 306">
          <a:extLst>
            <a:ext uri="{FF2B5EF4-FFF2-40B4-BE49-F238E27FC236}">
              <a16:creationId xmlns:a16="http://schemas.microsoft.com/office/drawing/2014/main" id="{B83164FC-4CF7-4E96-BE0D-A9592E55A280}"/>
            </a:ext>
          </a:extLst>
        </xdr:cNvPr>
        <xdr:cNvSpPr/>
      </xdr:nvSpPr>
      <xdr:spPr>
        <a:xfrm rot="10800000">
          <a:off x="11634817" y="16152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36</xdr:row>
      <xdr:rowOff>196274</xdr:rowOff>
    </xdr:from>
    <xdr:to>
      <xdr:col>9</xdr:col>
      <xdr:colOff>877456</xdr:colOff>
      <xdr:row>36</xdr:row>
      <xdr:rowOff>346365</xdr:rowOff>
    </xdr:to>
    <xdr:sp macro="" textlink="">
      <xdr:nvSpPr>
        <xdr:cNvPr id="308" name="Isosceles Triangle 307">
          <a:extLst>
            <a:ext uri="{FF2B5EF4-FFF2-40B4-BE49-F238E27FC236}">
              <a16:creationId xmlns:a16="http://schemas.microsoft.com/office/drawing/2014/main" id="{01A1E123-51DE-4CE0-A71E-BFF1A3B5E51B}"/>
            </a:ext>
          </a:extLst>
        </xdr:cNvPr>
        <xdr:cNvSpPr/>
      </xdr:nvSpPr>
      <xdr:spPr>
        <a:xfrm rot="10800000">
          <a:off x="11634817" y="19581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42</xdr:row>
      <xdr:rowOff>196274</xdr:rowOff>
    </xdr:from>
    <xdr:to>
      <xdr:col>9</xdr:col>
      <xdr:colOff>877456</xdr:colOff>
      <xdr:row>42</xdr:row>
      <xdr:rowOff>346365</xdr:rowOff>
    </xdr:to>
    <xdr:sp macro="" textlink="">
      <xdr:nvSpPr>
        <xdr:cNvPr id="309" name="Isosceles Triangle 308">
          <a:extLst>
            <a:ext uri="{FF2B5EF4-FFF2-40B4-BE49-F238E27FC236}">
              <a16:creationId xmlns:a16="http://schemas.microsoft.com/office/drawing/2014/main" id="{3B009A13-EB89-4B15-A18E-35B4DBB4E8CE}"/>
            </a:ext>
          </a:extLst>
        </xdr:cNvPr>
        <xdr:cNvSpPr/>
      </xdr:nvSpPr>
      <xdr:spPr>
        <a:xfrm rot="10800000">
          <a:off x="11634817" y="23010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48</xdr:row>
      <xdr:rowOff>196274</xdr:rowOff>
    </xdr:from>
    <xdr:to>
      <xdr:col>9</xdr:col>
      <xdr:colOff>877456</xdr:colOff>
      <xdr:row>48</xdr:row>
      <xdr:rowOff>346365</xdr:rowOff>
    </xdr:to>
    <xdr:sp macro="" textlink="">
      <xdr:nvSpPr>
        <xdr:cNvPr id="310" name="Isosceles Triangle 309">
          <a:extLst>
            <a:ext uri="{FF2B5EF4-FFF2-40B4-BE49-F238E27FC236}">
              <a16:creationId xmlns:a16="http://schemas.microsoft.com/office/drawing/2014/main" id="{185CDC40-7740-479A-A011-819AAB941E69}"/>
            </a:ext>
          </a:extLst>
        </xdr:cNvPr>
        <xdr:cNvSpPr/>
      </xdr:nvSpPr>
      <xdr:spPr>
        <a:xfrm rot="10800000">
          <a:off x="11634817" y="26439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54</xdr:row>
      <xdr:rowOff>196274</xdr:rowOff>
    </xdr:from>
    <xdr:to>
      <xdr:col>9</xdr:col>
      <xdr:colOff>877456</xdr:colOff>
      <xdr:row>54</xdr:row>
      <xdr:rowOff>346365</xdr:rowOff>
    </xdr:to>
    <xdr:sp macro="" textlink="">
      <xdr:nvSpPr>
        <xdr:cNvPr id="311" name="Isosceles Triangle 310">
          <a:extLst>
            <a:ext uri="{FF2B5EF4-FFF2-40B4-BE49-F238E27FC236}">
              <a16:creationId xmlns:a16="http://schemas.microsoft.com/office/drawing/2014/main" id="{C63F509D-1ABA-44F5-BE2B-C7D5D7A31450}"/>
            </a:ext>
          </a:extLst>
        </xdr:cNvPr>
        <xdr:cNvSpPr/>
      </xdr:nvSpPr>
      <xdr:spPr>
        <a:xfrm rot="10800000">
          <a:off x="11634817" y="29868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60</xdr:row>
      <xdr:rowOff>196274</xdr:rowOff>
    </xdr:from>
    <xdr:to>
      <xdr:col>9</xdr:col>
      <xdr:colOff>877456</xdr:colOff>
      <xdr:row>60</xdr:row>
      <xdr:rowOff>346365</xdr:rowOff>
    </xdr:to>
    <xdr:sp macro="" textlink="">
      <xdr:nvSpPr>
        <xdr:cNvPr id="312" name="Isosceles Triangle 311">
          <a:extLst>
            <a:ext uri="{FF2B5EF4-FFF2-40B4-BE49-F238E27FC236}">
              <a16:creationId xmlns:a16="http://schemas.microsoft.com/office/drawing/2014/main" id="{0584DDD8-60DB-4F7B-89DE-6C77B19A5BF2}"/>
            </a:ext>
          </a:extLst>
        </xdr:cNvPr>
        <xdr:cNvSpPr/>
      </xdr:nvSpPr>
      <xdr:spPr>
        <a:xfrm rot="10800000">
          <a:off x="11634817" y="33297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66</xdr:row>
      <xdr:rowOff>196274</xdr:rowOff>
    </xdr:from>
    <xdr:to>
      <xdr:col>9</xdr:col>
      <xdr:colOff>877456</xdr:colOff>
      <xdr:row>66</xdr:row>
      <xdr:rowOff>346365</xdr:rowOff>
    </xdr:to>
    <xdr:sp macro="" textlink="">
      <xdr:nvSpPr>
        <xdr:cNvPr id="313" name="Isosceles Triangle 312">
          <a:extLst>
            <a:ext uri="{FF2B5EF4-FFF2-40B4-BE49-F238E27FC236}">
              <a16:creationId xmlns:a16="http://schemas.microsoft.com/office/drawing/2014/main" id="{F6A9DC3E-1429-468C-9154-2EB8D8313616}"/>
            </a:ext>
          </a:extLst>
        </xdr:cNvPr>
        <xdr:cNvSpPr/>
      </xdr:nvSpPr>
      <xdr:spPr>
        <a:xfrm rot="10800000">
          <a:off x="11634817" y="36726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72</xdr:row>
      <xdr:rowOff>196274</xdr:rowOff>
    </xdr:from>
    <xdr:to>
      <xdr:col>9</xdr:col>
      <xdr:colOff>877456</xdr:colOff>
      <xdr:row>72</xdr:row>
      <xdr:rowOff>346365</xdr:rowOff>
    </xdr:to>
    <xdr:sp macro="" textlink="">
      <xdr:nvSpPr>
        <xdr:cNvPr id="314" name="Isosceles Triangle 313">
          <a:extLst>
            <a:ext uri="{FF2B5EF4-FFF2-40B4-BE49-F238E27FC236}">
              <a16:creationId xmlns:a16="http://schemas.microsoft.com/office/drawing/2014/main" id="{ED6ECEE4-C97C-411C-9E4C-D3DEFC090B3D}"/>
            </a:ext>
          </a:extLst>
        </xdr:cNvPr>
        <xdr:cNvSpPr/>
      </xdr:nvSpPr>
      <xdr:spPr>
        <a:xfrm rot="10800000">
          <a:off x="11634817" y="40155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78</xdr:row>
      <xdr:rowOff>196274</xdr:rowOff>
    </xdr:from>
    <xdr:to>
      <xdr:col>9</xdr:col>
      <xdr:colOff>877456</xdr:colOff>
      <xdr:row>78</xdr:row>
      <xdr:rowOff>346365</xdr:rowOff>
    </xdr:to>
    <xdr:sp macro="" textlink="">
      <xdr:nvSpPr>
        <xdr:cNvPr id="315" name="Isosceles Triangle 314">
          <a:extLst>
            <a:ext uri="{FF2B5EF4-FFF2-40B4-BE49-F238E27FC236}">
              <a16:creationId xmlns:a16="http://schemas.microsoft.com/office/drawing/2014/main" id="{F1089E8F-1B98-4438-B688-DBFAC5E835F2}"/>
            </a:ext>
          </a:extLst>
        </xdr:cNvPr>
        <xdr:cNvSpPr/>
      </xdr:nvSpPr>
      <xdr:spPr>
        <a:xfrm rot="10800000">
          <a:off x="11634817" y="43584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84</xdr:row>
      <xdr:rowOff>196274</xdr:rowOff>
    </xdr:from>
    <xdr:to>
      <xdr:col>9</xdr:col>
      <xdr:colOff>877456</xdr:colOff>
      <xdr:row>84</xdr:row>
      <xdr:rowOff>346365</xdr:rowOff>
    </xdr:to>
    <xdr:sp macro="" textlink="">
      <xdr:nvSpPr>
        <xdr:cNvPr id="316" name="Isosceles Triangle 315">
          <a:extLst>
            <a:ext uri="{FF2B5EF4-FFF2-40B4-BE49-F238E27FC236}">
              <a16:creationId xmlns:a16="http://schemas.microsoft.com/office/drawing/2014/main" id="{0AC0CC01-A322-497C-86F9-B59D58F06A6B}"/>
            </a:ext>
          </a:extLst>
        </xdr:cNvPr>
        <xdr:cNvSpPr/>
      </xdr:nvSpPr>
      <xdr:spPr>
        <a:xfrm rot="10800000">
          <a:off x="11634817" y="47013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90</xdr:row>
      <xdr:rowOff>196274</xdr:rowOff>
    </xdr:from>
    <xdr:to>
      <xdr:col>9</xdr:col>
      <xdr:colOff>877456</xdr:colOff>
      <xdr:row>90</xdr:row>
      <xdr:rowOff>346365</xdr:rowOff>
    </xdr:to>
    <xdr:sp macro="" textlink="">
      <xdr:nvSpPr>
        <xdr:cNvPr id="317" name="Isosceles Triangle 316">
          <a:extLst>
            <a:ext uri="{FF2B5EF4-FFF2-40B4-BE49-F238E27FC236}">
              <a16:creationId xmlns:a16="http://schemas.microsoft.com/office/drawing/2014/main" id="{D5FF0F6D-2FE2-46AD-8607-5BEF855059C1}"/>
            </a:ext>
          </a:extLst>
        </xdr:cNvPr>
        <xdr:cNvSpPr/>
      </xdr:nvSpPr>
      <xdr:spPr>
        <a:xfrm rot="10800000">
          <a:off x="11634817" y="50442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96</xdr:row>
      <xdr:rowOff>196274</xdr:rowOff>
    </xdr:from>
    <xdr:to>
      <xdr:col>9</xdr:col>
      <xdr:colOff>877456</xdr:colOff>
      <xdr:row>96</xdr:row>
      <xdr:rowOff>346365</xdr:rowOff>
    </xdr:to>
    <xdr:sp macro="" textlink="">
      <xdr:nvSpPr>
        <xdr:cNvPr id="318" name="Isosceles Triangle 317">
          <a:extLst>
            <a:ext uri="{FF2B5EF4-FFF2-40B4-BE49-F238E27FC236}">
              <a16:creationId xmlns:a16="http://schemas.microsoft.com/office/drawing/2014/main" id="{F9A8BF95-4013-4640-AE4F-65C08C3E2075}"/>
            </a:ext>
          </a:extLst>
        </xdr:cNvPr>
        <xdr:cNvSpPr/>
      </xdr:nvSpPr>
      <xdr:spPr>
        <a:xfrm rot="10800000">
          <a:off x="11634817" y="53871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102</xdr:row>
      <xdr:rowOff>196274</xdr:rowOff>
    </xdr:from>
    <xdr:to>
      <xdr:col>9</xdr:col>
      <xdr:colOff>877456</xdr:colOff>
      <xdr:row>102</xdr:row>
      <xdr:rowOff>346365</xdr:rowOff>
    </xdr:to>
    <xdr:sp macro="" textlink="">
      <xdr:nvSpPr>
        <xdr:cNvPr id="319" name="Isosceles Triangle 318">
          <a:extLst>
            <a:ext uri="{FF2B5EF4-FFF2-40B4-BE49-F238E27FC236}">
              <a16:creationId xmlns:a16="http://schemas.microsoft.com/office/drawing/2014/main" id="{418BA6FC-C0EB-4D65-B2C5-7B1552752DA3}"/>
            </a:ext>
          </a:extLst>
        </xdr:cNvPr>
        <xdr:cNvSpPr/>
      </xdr:nvSpPr>
      <xdr:spPr>
        <a:xfrm rot="10800000">
          <a:off x="11634817" y="57300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108</xdr:row>
      <xdr:rowOff>196274</xdr:rowOff>
    </xdr:from>
    <xdr:to>
      <xdr:col>9</xdr:col>
      <xdr:colOff>877456</xdr:colOff>
      <xdr:row>108</xdr:row>
      <xdr:rowOff>346365</xdr:rowOff>
    </xdr:to>
    <xdr:sp macro="" textlink="">
      <xdr:nvSpPr>
        <xdr:cNvPr id="320" name="Isosceles Triangle 319">
          <a:extLst>
            <a:ext uri="{FF2B5EF4-FFF2-40B4-BE49-F238E27FC236}">
              <a16:creationId xmlns:a16="http://schemas.microsoft.com/office/drawing/2014/main" id="{20AF1E79-CC43-4B66-A242-088AF9E81CBE}"/>
            </a:ext>
          </a:extLst>
        </xdr:cNvPr>
        <xdr:cNvSpPr/>
      </xdr:nvSpPr>
      <xdr:spPr>
        <a:xfrm rot="10800000">
          <a:off x="11634817" y="60729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114</xdr:row>
      <xdr:rowOff>196274</xdr:rowOff>
    </xdr:from>
    <xdr:to>
      <xdr:col>9</xdr:col>
      <xdr:colOff>877456</xdr:colOff>
      <xdr:row>114</xdr:row>
      <xdr:rowOff>346365</xdr:rowOff>
    </xdr:to>
    <xdr:sp macro="" textlink="">
      <xdr:nvSpPr>
        <xdr:cNvPr id="321" name="Isosceles Triangle 320">
          <a:extLst>
            <a:ext uri="{FF2B5EF4-FFF2-40B4-BE49-F238E27FC236}">
              <a16:creationId xmlns:a16="http://schemas.microsoft.com/office/drawing/2014/main" id="{686847A0-F390-4C7E-AC5E-A21CBCEB0B17}"/>
            </a:ext>
          </a:extLst>
        </xdr:cNvPr>
        <xdr:cNvSpPr/>
      </xdr:nvSpPr>
      <xdr:spPr>
        <a:xfrm rot="10800000">
          <a:off x="11634817" y="64158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120</xdr:row>
      <xdr:rowOff>196274</xdr:rowOff>
    </xdr:from>
    <xdr:to>
      <xdr:col>9</xdr:col>
      <xdr:colOff>877456</xdr:colOff>
      <xdr:row>120</xdr:row>
      <xdr:rowOff>346365</xdr:rowOff>
    </xdr:to>
    <xdr:sp macro="" textlink="">
      <xdr:nvSpPr>
        <xdr:cNvPr id="322" name="Isosceles Triangle 321">
          <a:extLst>
            <a:ext uri="{FF2B5EF4-FFF2-40B4-BE49-F238E27FC236}">
              <a16:creationId xmlns:a16="http://schemas.microsoft.com/office/drawing/2014/main" id="{B71EADCE-D191-4F4A-8F6F-7FD56C442B83}"/>
            </a:ext>
          </a:extLst>
        </xdr:cNvPr>
        <xdr:cNvSpPr/>
      </xdr:nvSpPr>
      <xdr:spPr>
        <a:xfrm rot="10800000">
          <a:off x="11634817" y="67587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126</xdr:row>
      <xdr:rowOff>196274</xdr:rowOff>
    </xdr:from>
    <xdr:to>
      <xdr:col>9</xdr:col>
      <xdr:colOff>877456</xdr:colOff>
      <xdr:row>126</xdr:row>
      <xdr:rowOff>346365</xdr:rowOff>
    </xdr:to>
    <xdr:sp macro="" textlink="">
      <xdr:nvSpPr>
        <xdr:cNvPr id="323" name="Isosceles Triangle 322">
          <a:extLst>
            <a:ext uri="{FF2B5EF4-FFF2-40B4-BE49-F238E27FC236}">
              <a16:creationId xmlns:a16="http://schemas.microsoft.com/office/drawing/2014/main" id="{AD446B19-31D3-4C7D-9977-961C0DE378DA}"/>
            </a:ext>
          </a:extLst>
        </xdr:cNvPr>
        <xdr:cNvSpPr/>
      </xdr:nvSpPr>
      <xdr:spPr>
        <a:xfrm rot="10800000">
          <a:off x="11634817" y="71016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132</xdr:row>
      <xdr:rowOff>196274</xdr:rowOff>
    </xdr:from>
    <xdr:to>
      <xdr:col>9</xdr:col>
      <xdr:colOff>877456</xdr:colOff>
      <xdr:row>132</xdr:row>
      <xdr:rowOff>346365</xdr:rowOff>
    </xdr:to>
    <xdr:sp macro="" textlink="">
      <xdr:nvSpPr>
        <xdr:cNvPr id="324" name="Isosceles Triangle 323">
          <a:extLst>
            <a:ext uri="{FF2B5EF4-FFF2-40B4-BE49-F238E27FC236}">
              <a16:creationId xmlns:a16="http://schemas.microsoft.com/office/drawing/2014/main" id="{AD2E7A40-B488-4C92-86D0-4802C54AF83A}"/>
            </a:ext>
          </a:extLst>
        </xdr:cNvPr>
        <xdr:cNvSpPr/>
      </xdr:nvSpPr>
      <xdr:spPr>
        <a:xfrm rot="10800000">
          <a:off x="11634817" y="74445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138</xdr:row>
      <xdr:rowOff>196274</xdr:rowOff>
    </xdr:from>
    <xdr:to>
      <xdr:col>9</xdr:col>
      <xdr:colOff>877456</xdr:colOff>
      <xdr:row>138</xdr:row>
      <xdr:rowOff>346365</xdr:rowOff>
    </xdr:to>
    <xdr:sp macro="" textlink="">
      <xdr:nvSpPr>
        <xdr:cNvPr id="325" name="Isosceles Triangle 324">
          <a:extLst>
            <a:ext uri="{FF2B5EF4-FFF2-40B4-BE49-F238E27FC236}">
              <a16:creationId xmlns:a16="http://schemas.microsoft.com/office/drawing/2014/main" id="{67C80EA7-9A12-4231-A52C-2428BA9532A9}"/>
            </a:ext>
          </a:extLst>
        </xdr:cNvPr>
        <xdr:cNvSpPr/>
      </xdr:nvSpPr>
      <xdr:spPr>
        <a:xfrm rot="10800000">
          <a:off x="11634817" y="77874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24</xdr:row>
      <xdr:rowOff>184727</xdr:rowOff>
    </xdr:from>
    <xdr:to>
      <xdr:col>9</xdr:col>
      <xdr:colOff>877455</xdr:colOff>
      <xdr:row>24</xdr:row>
      <xdr:rowOff>334818</xdr:rowOff>
    </xdr:to>
    <xdr:sp macro="" textlink="">
      <xdr:nvSpPr>
        <xdr:cNvPr id="331" name="Isosceles Triangle 330">
          <a:extLst>
            <a:ext uri="{FF2B5EF4-FFF2-40B4-BE49-F238E27FC236}">
              <a16:creationId xmlns:a16="http://schemas.microsoft.com/office/drawing/2014/main" id="{325D3309-9BE1-4CAD-A34F-0FBBAEE18276}"/>
            </a:ext>
          </a:extLst>
        </xdr:cNvPr>
        <xdr:cNvSpPr/>
      </xdr:nvSpPr>
      <xdr:spPr>
        <a:xfrm rot="10800000">
          <a:off x="11634816" y="12712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24</xdr:row>
      <xdr:rowOff>196274</xdr:rowOff>
    </xdr:from>
    <xdr:to>
      <xdr:col>9</xdr:col>
      <xdr:colOff>877456</xdr:colOff>
      <xdr:row>24</xdr:row>
      <xdr:rowOff>346365</xdr:rowOff>
    </xdr:to>
    <xdr:sp macro="" textlink="">
      <xdr:nvSpPr>
        <xdr:cNvPr id="332" name="Isosceles Triangle 331">
          <a:extLst>
            <a:ext uri="{FF2B5EF4-FFF2-40B4-BE49-F238E27FC236}">
              <a16:creationId xmlns:a16="http://schemas.microsoft.com/office/drawing/2014/main" id="{03741955-2927-482A-A679-CD93FAFBEE35}"/>
            </a:ext>
          </a:extLst>
        </xdr:cNvPr>
        <xdr:cNvSpPr/>
      </xdr:nvSpPr>
      <xdr:spPr>
        <a:xfrm rot="10800000">
          <a:off x="11634817" y="12723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24</xdr:row>
      <xdr:rowOff>184727</xdr:rowOff>
    </xdr:from>
    <xdr:to>
      <xdr:col>9</xdr:col>
      <xdr:colOff>877455</xdr:colOff>
      <xdr:row>24</xdr:row>
      <xdr:rowOff>334818</xdr:rowOff>
    </xdr:to>
    <xdr:sp macro="" textlink="">
      <xdr:nvSpPr>
        <xdr:cNvPr id="333" name="Isosceles Triangle 332">
          <a:extLst>
            <a:ext uri="{FF2B5EF4-FFF2-40B4-BE49-F238E27FC236}">
              <a16:creationId xmlns:a16="http://schemas.microsoft.com/office/drawing/2014/main" id="{1E4A6C06-083D-4DDB-8489-660ACA6B08CF}"/>
            </a:ext>
          </a:extLst>
        </xdr:cNvPr>
        <xdr:cNvSpPr/>
      </xdr:nvSpPr>
      <xdr:spPr>
        <a:xfrm rot="10800000">
          <a:off x="11634816" y="12712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24</xdr:row>
      <xdr:rowOff>196274</xdr:rowOff>
    </xdr:from>
    <xdr:to>
      <xdr:col>9</xdr:col>
      <xdr:colOff>877456</xdr:colOff>
      <xdr:row>24</xdr:row>
      <xdr:rowOff>346365</xdr:rowOff>
    </xdr:to>
    <xdr:sp macro="" textlink="">
      <xdr:nvSpPr>
        <xdr:cNvPr id="334" name="Isosceles Triangle 333">
          <a:extLst>
            <a:ext uri="{FF2B5EF4-FFF2-40B4-BE49-F238E27FC236}">
              <a16:creationId xmlns:a16="http://schemas.microsoft.com/office/drawing/2014/main" id="{4A5DAEC7-A9ED-4B66-A0F8-B238B4CE660C}"/>
            </a:ext>
          </a:extLst>
        </xdr:cNvPr>
        <xdr:cNvSpPr/>
      </xdr:nvSpPr>
      <xdr:spPr>
        <a:xfrm rot="10800000">
          <a:off x="11634817" y="12723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42</xdr:row>
      <xdr:rowOff>184727</xdr:rowOff>
    </xdr:from>
    <xdr:to>
      <xdr:col>9</xdr:col>
      <xdr:colOff>877455</xdr:colOff>
      <xdr:row>42</xdr:row>
      <xdr:rowOff>334818</xdr:rowOff>
    </xdr:to>
    <xdr:sp macro="" textlink="">
      <xdr:nvSpPr>
        <xdr:cNvPr id="335" name="Isosceles Triangle 334">
          <a:extLst>
            <a:ext uri="{FF2B5EF4-FFF2-40B4-BE49-F238E27FC236}">
              <a16:creationId xmlns:a16="http://schemas.microsoft.com/office/drawing/2014/main" id="{0FFB03FA-7F7E-4804-A7FA-F1DC0B70344A}"/>
            </a:ext>
          </a:extLst>
        </xdr:cNvPr>
        <xdr:cNvSpPr/>
      </xdr:nvSpPr>
      <xdr:spPr>
        <a:xfrm rot="10800000">
          <a:off x="11634816" y="22999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42</xdr:row>
      <xdr:rowOff>196274</xdr:rowOff>
    </xdr:from>
    <xdr:to>
      <xdr:col>9</xdr:col>
      <xdr:colOff>877456</xdr:colOff>
      <xdr:row>42</xdr:row>
      <xdr:rowOff>346365</xdr:rowOff>
    </xdr:to>
    <xdr:sp macro="" textlink="">
      <xdr:nvSpPr>
        <xdr:cNvPr id="336" name="Isosceles Triangle 335">
          <a:extLst>
            <a:ext uri="{FF2B5EF4-FFF2-40B4-BE49-F238E27FC236}">
              <a16:creationId xmlns:a16="http://schemas.microsoft.com/office/drawing/2014/main" id="{C5B9B606-786C-43CE-8CF8-F15DE824F078}"/>
            </a:ext>
          </a:extLst>
        </xdr:cNvPr>
        <xdr:cNvSpPr/>
      </xdr:nvSpPr>
      <xdr:spPr>
        <a:xfrm rot="10800000">
          <a:off x="11634817" y="23010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48</xdr:row>
      <xdr:rowOff>184727</xdr:rowOff>
    </xdr:from>
    <xdr:to>
      <xdr:col>9</xdr:col>
      <xdr:colOff>877455</xdr:colOff>
      <xdr:row>48</xdr:row>
      <xdr:rowOff>334818</xdr:rowOff>
    </xdr:to>
    <xdr:sp macro="" textlink="">
      <xdr:nvSpPr>
        <xdr:cNvPr id="337" name="Isosceles Triangle 336">
          <a:extLst>
            <a:ext uri="{FF2B5EF4-FFF2-40B4-BE49-F238E27FC236}">
              <a16:creationId xmlns:a16="http://schemas.microsoft.com/office/drawing/2014/main" id="{7A5E1776-B119-4D0B-A647-D6036679A978}"/>
            </a:ext>
          </a:extLst>
        </xdr:cNvPr>
        <xdr:cNvSpPr/>
      </xdr:nvSpPr>
      <xdr:spPr>
        <a:xfrm rot="10800000">
          <a:off x="11634816" y="26428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48</xdr:row>
      <xdr:rowOff>196274</xdr:rowOff>
    </xdr:from>
    <xdr:to>
      <xdr:col>9</xdr:col>
      <xdr:colOff>877456</xdr:colOff>
      <xdr:row>48</xdr:row>
      <xdr:rowOff>346365</xdr:rowOff>
    </xdr:to>
    <xdr:sp macro="" textlink="">
      <xdr:nvSpPr>
        <xdr:cNvPr id="338" name="Isosceles Triangle 337">
          <a:extLst>
            <a:ext uri="{FF2B5EF4-FFF2-40B4-BE49-F238E27FC236}">
              <a16:creationId xmlns:a16="http://schemas.microsoft.com/office/drawing/2014/main" id="{19F842C9-6127-46AE-BEE5-24598DC5A8FD}"/>
            </a:ext>
          </a:extLst>
        </xdr:cNvPr>
        <xdr:cNvSpPr/>
      </xdr:nvSpPr>
      <xdr:spPr>
        <a:xfrm rot="10800000">
          <a:off x="11634817" y="26439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54</xdr:row>
      <xdr:rowOff>184727</xdr:rowOff>
    </xdr:from>
    <xdr:to>
      <xdr:col>9</xdr:col>
      <xdr:colOff>877455</xdr:colOff>
      <xdr:row>54</xdr:row>
      <xdr:rowOff>334818</xdr:rowOff>
    </xdr:to>
    <xdr:sp macro="" textlink="">
      <xdr:nvSpPr>
        <xdr:cNvPr id="339" name="Isosceles Triangle 338">
          <a:extLst>
            <a:ext uri="{FF2B5EF4-FFF2-40B4-BE49-F238E27FC236}">
              <a16:creationId xmlns:a16="http://schemas.microsoft.com/office/drawing/2014/main" id="{4BA3A04B-9763-42B1-A35E-5CD437247628}"/>
            </a:ext>
          </a:extLst>
        </xdr:cNvPr>
        <xdr:cNvSpPr/>
      </xdr:nvSpPr>
      <xdr:spPr>
        <a:xfrm rot="10800000">
          <a:off x="11634816" y="29857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54</xdr:row>
      <xdr:rowOff>196274</xdr:rowOff>
    </xdr:from>
    <xdr:to>
      <xdr:col>9</xdr:col>
      <xdr:colOff>877456</xdr:colOff>
      <xdr:row>54</xdr:row>
      <xdr:rowOff>346365</xdr:rowOff>
    </xdr:to>
    <xdr:sp macro="" textlink="">
      <xdr:nvSpPr>
        <xdr:cNvPr id="340" name="Isosceles Triangle 339">
          <a:extLst>
            <a:ext uri="{FF2B5EF4-FFF2-40B4-BE49-F238E27FC236}">
              <a16:creationId xmlns:a16="http://schemas.microsoft.com/office/drawing/2014/main" id="{DF845DE9-9A96-4F1D-A3D9-E4A5A84FC534}"/>
            </a:ext>
          </a:extLst>
        </xdr:cNvPr>
        <xdr:cNvSpPr/>
      </xdr:nvSpPr>
      <xdr:spPr>
        <a:xfrm rot="10800000">
          <a:off x="11634817" y="29868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60</xdr:row>
      <xdr:rowOff>184727</xdr:rowOff>
    </xdr:from>
    <xdr:to>
      <xdr:col>9</xdr:col>
      <xdr:colOff>877455</xdr:colOff>
      <xdr:row>60</xdr:row>
      <xdr:rowOff>334818</xdr:rowOff>
    </xdr:to>
    <xdr:sp macro="" textlink="">
      <xdr:nvSpPr>
        <xdr:cNvPr id="341" name="Isosceles Triangle 340">
          <a:extLst>
            <a:ext uri="{FF2B5EF4-FFF2-40B4-BE49-F238E27FC236}">
              <a16:creationId xmlns:a16="http://schemas.microsoft.com/office/drawing/2014/main" id="{6161DEFB-6A00-4AEC-A2C4-9EE7087C12ED}"/>
            </a:ext>
          </a:extLst>
        </xdr:cNvPr>
        <xdr:cNvSpPr/>
      </xdr:nvSpPr>
      <xdr:spPr>
        <a:xfrm rot="10800000">
          <a:off x="11634816" y="33286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60</xdr:row>
      <xdr:rowOff>196274</xdr:rowOff>
    </xdr:from>
    <xdr:to>
      <xdr:col>9</xdr:col>
      <xdr:colOff>877456</xdr:colOff>
      <xdr:row>60</xdr:row>
      <xdr:rowOff>346365</xdr:rowOff>
    </xdr:to>
    <xdr:sp macro="" textlink="">
      <xdr:nvSpPr>
        <xdr:cNvPr id="342" name="Isosceles Triangle 341">
          <a:extLst>
            <a:ext uri="{FF2B5EF4-FFF2-40B4-BE49-F238E27FC236}">
              <a16:creationId xmlns:a16="http://schemas.microsoft.com/office/drawing/2014/main" id="{A9E19CD2-6674-42D6-97C3-8E9F657579FE}"/>
            </a:ext>
          </a:extLst>
        </xdr:cNvPr>
        <xdr:cNvSpPr/>
      </xdr:nvSpPr>
      <xdr:spPr>
        <a:xfrm rot="10800000">
          <a:off x="11634817" y="33297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66</xdr:row>
      <xdr:rowOff>184727</xdr:rowOff>
    </xdr:from>
    <xdr:to>
      <xdr:col>9</xdr:col>
      <xdr:colOff>877455</xdr:colOff>
      <xdr:row>66</xdr:row>
      <xdr:rowOff>334818</xdr:rowOff>
    </xdr:to>
    <xdr:sp macro="" textlink="">
      <xdr:nvSpPr>
        <xdr:cNvPr id="343" name="Isosceles Triangle 342">
          <a:extLst>
            <a:ext uri="{FF2B5EF4-FFF2-40B4-BE49-F238E27FC236}">
              <a16:creationId xmlns:a16="http://schemas.microsoft.com/office/drawing/2014/main" id="{7764C318-C57E-46F5-8917-949DFBF44C8E}"/>
            </a:ext>
          </a:extLst>
        </xdr:cNvPr>
        <xdr:cNvSpPr/>
      </xdr:nvSpPr>
      <xdr:spPr>
        <a:xfrm rot="10800000">
          <a:off x="11634816" y="36715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66</xdr:row>
      <xdr:rowOff>196274</xdr:rowOff>
    </xdr:from>
    <xdr:to>
      <xdr:col>9</xdr:col>
      <xdr:colOff>877456</xdr:colOff>
      <xdr:row>66</xdr:row>
      <xdr:rowOff>346365</xdr:rowOff>
    </xdr:to>
    <xdr:sp macro="" textlink="">
      <xdr:nvSpPr>
        <xdr:cNvPr id="344" name="Isosceles Triangle 343">
          <a:extLst>
            <a:ext uri="{FF2B5EF4-FFF2-40B4-BE49-F238E27FC236}">
              <a16:creationId xmlns:a16="http://schemas.microsoft.com/office/drawing/2014/main" id="{BC0142D2-F0E0-43B7-A37B-FB494EB806AF}"/>
            </a:ext>
          </a:extLst>
        </xdr:cNvPr>
        <xdr:cNvSpPr/>
      </xdr:nvSpPr>
      <xdr:spPr>
        <a:xfrm rot="10800000">
          <a:off x="11634817" y="36726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66</xdr:row>
      <xdr:rowOff>184727</xdr:rowOff>
    </xdr:from>
    <xdr:to>
      <xdr:col>9</xdr:col>
      <xdr:colOff>877455</xdr:colOff>
      <xdr:row>66</xdr:row>
      <xdr:rowOff>334818</xdr:rowOff>
    </xdr:to>
    <xdr:sp macro="" textlink="">
      <xdr:nvSpPr>
        <xdr:cNvPr id="345" name="Isosceles Triangle 344">
          <a:extLst>
            <a:ext uri="{FF2B5EF4-FFF2-40B4-BE49-F238E27FC236}">
              <a16:creationId xmlns:a16="http://schemas.microsoft.com/office/drawing/2014/main" id="{2295D7BF-A9F5-432A-97BC-E747474D600D}"/>
            </a:ext>
          </a:extLst>
        </xdr:cNvPr>
        <xdr:cNvSpPr/>
      </xdr:nvSpPr>
      <xdr:spPr>
        <a:xfrm rot="10800000">
          <a:off x="11634816" y="36715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66</xdr:row>
      <xdr:rowOff>196274</xdr:rowOff>
    </xdr:from>
    <xdr:to>
      <xdr:col>9</xdr:col>
      <xdr:colOff>877456</xdr:colOff>
      <xdr:row>66</xdr:row>
      <xdr:rowOff>346365</xdr:rowOff>
    </xdr:to>
    <xdr:sp macro="" textlink="">
      <xdr:nvSpPr>
        <xdr:cNvPr id="346" name="Isosceles Triangle 345">
          <a:extLst>
            <a:ext uri="{FF2B5EF4-FFF2-40B4-BE49-F238E27FC236}">
              <a16:creationId xmlns:a16="http://schemas.microsoft.com/office/drawing/2014/main" id="{DE861CC2-40CF-4F83-868E-E67688CCA14E}"/>
            </a:ext>
          </a:extLst>
        </xdr:cNvPr>
        <xdr:cNvSpPr/>
      </xdr:nvSpPr>
      <xdr:spPr>
        <a:xfrm rot="10800000">
          <a:off x="11634817" y="36726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72</xdr:row>
      <xdr:rowOff>184727</xdr:rowOff>
    </xdr:from>
    <xdr:to>
      <xdr:col>9</xdr:col>
      <xdr:colOff>877455</xdr:colOff>
      <xdr:row>72</xdr:row>
      <xdr:rowOff>334818</xdr:rowOff>
    </xdr:to>
    <xdr:sp macro="" textlink="">
      <xdr:nvSpPr>
        <xdr:cNvPr id="347" name="Isosceles Triangle 346">
          <a:extLst>
            <a:ext uri="{FF2B5EF4-FFF2-40B4-BE49-F238E27FC236}">
              <a16:creationId xmlns:a16="http://schemas.microsoft.com/office/drawing/2014/main" id="{E7AF9E7E-596C-4212-98A9-C7D954A789B9}"/>
            </a:ext>
          </a:extLst>
        </xdr:cNvPr>
        <xdr:cNvSpPr/>
      </xdr:nvSpPr>
      <xdr:spPr>
        <a:xfrm rot="10800000">
          <a:off x="11634816" y="40144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72</xdr:row>
      <xdr:rowOff>196274</xdr:rowOff>
    </xdr:from>
    <xdr:to>
      <xdr:col>9</xdr:col>
      <xdr:colOff>877456</xdr:colOff>
      <xdr:row>72</xdr:row>
      <xdr:rowOff>346365</xdr:rowOff>
    </xdr:to>
    <xdr:sp macro="" textlink="">
      <xdr:nvSpPr>
        <xdr:cNvPr id="348" name="Isosceles Triangle 347">
          <a:extLst>
            <a:ext uri="{FF2B5EF4-FFF2-40B4-BE49-F238E27FC236}">
              <a16:creationId xmlns:a16="http://schemas.microsoft.com/office/drawing/2014/main" id="{8F11D3F4-2C89-4FFF-9460-26B732A6563A}"/>
            </a:ext>
          </a:extLst>
        </xdr:cNvPr>
        <xdr:cNvSpPr/>
      </xdr:nvSpPr>
      <xdr:spPr>
        <a:xfrm rot="10800000">
          <a:off x="11634817" y="40155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72</xdr:row>
      <xdr:rowOff>184727</xdr:rowOff>
    </xdr:from>
    <xdr:to>
      <xdr:col>9</xdr:col>
      <xdr:colOff>877455</xdr:colOff>
      <xdr:row>72</xdr:row>
      <xdr:rowOff>334818</xdr:rowOff>
    </xdr:to>
    <xdr:sp macro="" textlink="">
      <xdr:nvSpPr>
        <xdr:cNvPr id="349" name="Isosceles Triangle 348">
          <a:extLst>
            <a:ext uri="{FF2B5EF4-FFF2-40B4-BE49-F238E27FC236}">
              <a16:creationId xmlns:a16="http://schemas.microsoft.com/office/drawing/2014/main" id="{64898CAB-3E72-43ED-A5BE-D28B1A695D20}"/>
            </a:ext>
          </a:extLst>
        </xdr:cNvPr>
        <xdr:cNvSpPr/>
      </xdr:nvSpPr>
      <xdr:spPr>
        <a:xfrm rot="10800000">
          <a:off x="11634816" y="40144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72</xdr:row>
      <xdr:rowOff>196274</xdr:rowOff>
    </xdr:from>
    <xdr:to>
      <xdr:col>9</xdr:col>
      <xdr:colOff>877456</xdr:colOff>
      <xdr:row>72</xdr:row>
      <xdr:rowOff>346365</xdr:rowOff>
    </xdr:to>
    <xdr:sp macro="" textlink="">
      <xdr:nvSpPr>
        <xdr:cNvPr id="350" name="Isosceles Triangle 349">
          <a:extLst>
            <a:ext uri="{FF2B5EF4-FFF2-40B4-BE49-F238E27FC236}">
              <a16:creationId xmlns:a16="http://schemas.microsoft.com/office/drawing/2014/main" id="{5EA7F764-C558-4401-B0E8-318CEA609920}"/>
            </a:ext>
          </a:extLst>
        </xdr:cNvPr>
        <xdr:cNvSpPr/>
      </xdr:nvSpPr>
      <xdr:spPr>
        <a:xfrm rot="10800000">
          <a:off x="11634817" y="40155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78</xdr:row>
      <xdr:rowOff>184727</xdr:rowOff>
    </xdr:from>
    <xdr:to>
      <xdr:col>9</xdr:col>
      <xdr:colOff>877455</xdr:colOff>
      <xdr:row>78</xdr:row>
      <xdr:rowOff>334818</xdr:rowOff>
    </xdr:to>
    <xdr:sp macro="" textlink="">
      <xdr:nvSpPr>
        <xdr:cNvPr id="351" name="Isosceles Triangle 350">
          <a:extLst>
            <a:ext uri="{FF2B5EF4-FFF2-40B4-BE49-F238E27FC236}">
              <a16:creationId xmlns:a16="http://schemas.microsoft.com/office/drawing/2014/main" id="{254995FA-018E-4880-A760-0B9B1DBD8360}"/>
            </a:ext>
          </a:extLst>
        </xdr:cNvPr>
        <xdr:cNvSpPr/>
      </xdr:nvSpPr>
      <xdr:spPr>
        <a:xfrm rot="10800000">
          <a:off x="11634816" y="43573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78</xdr:row>
      <xdr:rowOff>196274</xdr:rowOff>
    </xdr:from>
    <xdr:to>
      <xdr:col>9</xdr:col>
      <xdr:colOff>877456</xdr:colOff>
      <xdr:row>78</xdr:row>
      <xdr:rowOff>346365</xdr:rowOff>
    </xdr:to>
    <xdr:sp macro="" textlink="">
      <xdr:nvSpPr>
        <xdr:cNvPr id="352" name="Isosceles Triangle 351">
          <a:extLst>
            <a:ext uri="{FF2B5EF4-FFF2-40B4-BE49-F238E27FC236}">
              <a16:creationId xmlns:a16="http://schemas.microsoft.com/office/drawing/2014/main" id="{54681109-48D4-4435-B473-9A34E342DEB8}"/>
            </a:ext>
          </a:extLst>
        </xdr:cNvPr>
        <xdr:cNvSpPr/>
      </xdr:nvSpPr>
      <xdr:spPr>
        <a:xfrm rot="10800000">
          <a:off x="11634817" y="43584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78</xdr:row>
      <xdr:rowOff>184727</xdr:rowOff>
    </xdr:from>
    <xdr:to>
      <xdr:col>9</xdr:col>
      <xdr:colOff>877455</xdr:colOff>
      <xdr:row>78</xdr:row>
      <xdr:rowOff>334818</xdr:rowOff>
    </xdr:to>
    <xdr:sp macro="" textlink="">
      <xdr:nvSpPr>
        <xdr:cNvPr id="353" name="Isosceles Triangle 352">
          <a:extLst>
            <a:ext uri="{FF2B5EF4-FFF2-40B4-BE49-F238E27FC236}">
              <a16:creationId xmlns:a16="http://schemas.microsoft.com/office/drawing/2014/main" id="{806CB24F-1C79-45FF-9160-277C7CDB91E0}"/>
            </a:ext>
          </a:extLst>
        </xdr:cNvPr>
        <xdr:cNvSpPr/>
      </xdr:nvSpPr>
      <xdr:spPr>
        <a:xfrm rot="10800000">
          <a:off x="11634816" y="43573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78</xdr:row>
      <xdr:rowOff>196274</xdr:rowOff>
    </xdr:from>
    <xdr:to>
      <xdr:col>9</xdr:col>
      <xdr:colOff>877456</xdr:colOff>
      <xdr:row>78</xdr:row>
      <xdr:rowOff>346365</xdr:rowOff>
    </xdr:to>
    <xdr:sp macro="" textlink="">
      <xdr:nvSpPr>
        <xdr:cNvPr id="354" name="Isosceles Triangle 353">
          <a:extLst>
            <a:ext uri="{FF2B5EF4-FFF2-40B4-BE49-F238E27FC236}">
              <a16:creationId xmlns:a16="http://schemas.microsoft.com/office/drawing/2014/main" id="{28E0DD94-0253-40AC-8D19-5EE7023222AF}"/>
            </a:ext>
          </a:extLst>
        </xdr:cNvPr>
        <xdr:cNvSpPr/>
      </xdr:nvSpPr>
      <xdr:spPr>
        <a:xfrm rot="10800000">
          <a:off x="11634817" y="43584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84</xdr:row>
      <xdr:rowOff>184727</xdr:rowOff>
    </xdr:from>
    <xdr:to>
      <xdr:col>9</xdr:col>
      <xdr:colOff>877455</xdr:colOff>
      <xdr:row>84</xdr:row>
      <xdr:rowOff>334818</xdr:rowOff>
    </xdr:to>
    <xdr:sp macro="" textlink="">
      <xdr:nvSpPr>
        <xdr:cNvPr id="355" name="Isosceles Triangle 354">
          <a:extLst>
            <a:ext uri="{FF2B5EF4-FFF2-40B4-BE49-F238E27FC236}">
              <a16:creationId xmlns:a16="http://schemas.microsoft.com/office/drawing/2014/main" id="{9F1E5FBB-FBEB-43B1-BCAD-878FA8F7C59C}"/>
            </a:ext>
          </a:extLst>
        </xdr:cNvPr>
        <xdr:cNvSpPr/>
      </xdr:nvSpPr>
      <xdr:spPr>
        <a:xfrm rot="10800000">
          <a:off x="11634816" y="47002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84</xdr:row>
      <xdr:rowOff>196274</xdr:rowOff>
    </xdr:from>
    <xdr:to>
      <xdr:col>9</xdr:col>
      <xdr:colOff>877456</xdr:colOff>
      <xdr:row>84</xdr:row>
      <xdr:rowOff>346365</xdr:rowOff>
    </xdr:to>
    <xdr:sp macro="" textlink="">
      <xdr:nvSpPr>
        <xdr:cNvPr id="356" name="Isosceles Triangle 355">
          <a:extLst>
            <a:ext uri="{FF2B5EF4-FFF2-40B4-BE49-F238E27FC236}">
              <a16:creationId xmlns:a16="http://schemas.microsoft.com/office/drawing/2014/main" id="{E0B2A4D4-5C21-4479-90FD-C21FEFBDDDB8}"/>
            </a:ext>
          </a:extLst>
        </xdr:cNvPr>
        <xdr:cNvSpPr/>
      </xdr:nvSpPr>
      <xdr:spPr>
        <a:xfrm rot="10800000">
          <a:off x="11634817" y="47013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84</xdr:row>
      <xdr:rowOff>184727</xdr:rowOff>
    </xdr:from>
    <xdr:to>
      <xdr:col>9</xdr:col>
      <xdr:colOff>877455</xdr:colOff>
      <xdr:row>84</xdr:row>
      <xdr:rowOff>334818</xdr:rowOff>
    </xdr:to>
    <xdr:sp macro="" textlink="">
      <xdr:nvSpPr>
        <xdr:cNvPr id="357" name="Isosceles Triangle 356">
          <a:extLst>
            <a:ext uri="{FF2B5EF4-FFF2-40B4-BE49-F238E27FC236}">
              <a16:creationId xmlns:a16="http://schemas.microsoft.com/office/drawing/2014/main" id="{D1E1025C-4E33-4F7B-B867-EC33793DE964}"/>
            </a:ext>
          </a:extLst>
        </xdr:cNvPr>
        <xdr:cNvSpPr/>
      </xdr:nvSpPr>
      <xdr:spPr>
        <a:xfrm rot="10800000">
          <a:off x="11634816" y="47002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84</xdr:row>
      <xdr:rowOff>196274</xdr:rowOff>
    </xdr:from>
    <xdr:to>
      <xdr:col>9</xdr:col>
      <xdr:colOff>877456</xdr:colOff>
      <xdr:row>84</xdr:row>
      <xdr:rowOff>346365</xdr:rowOff>
    </xdr:to>
    <xdr:sp macro="" textlink="">
      <xdr:nvSpPr>
        <xdr:cNvPr id="358" name="Isosceles Triangle 357">
          <a:extLst>
            <a:ext uri="{FF2B5EF4-FFF2-40B4-BE49-F238E27FC236}">
              <a16:creationId xmlns:a16="http://schemas.microsoft.com/office/drawing/2014/main" id="{048F1C25-35B8-485D-9F82-91BF3FC59F31}"/>
            </a:ext>
          </a:extLst>
        </xdr:cNvPr>
        <xdr:cNvSpPr/>
      </xdr:nvSpPr>
      <xdr:spPr>
        <a:xfrm rot="10800000">
          <a:off x="11634817" y="47013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90</xdr:row>
      <xdr:rowOff>184727</xdr:rowOff>
    </xdr:from>
    <xdr:to>
      <xdr:col>9</xdr:col>
      <xdr:colOff>877455</xdr:colOff>
      <xdr:row>90</xdr:row>
      <xdr:rowOff>334818</xdr:rowOff>
    </xdr:to>
    <xdr:sp macro="" textlink="">
      <xdr:nvSpPr>
        <xdr:cNvPr id="359" name="Isosceles Triangle 358">
          <a:extLst>
            <a:ext uri="{FF2B5EF4-FFF2-40B4-BE49-F238E27FC236}">
              <a16:creationId xmlns:a16="http://schemas.microsoft.com/office/drawing/2014/main" id="{1D057B59-C4B9-4D80-A890-EA03E4118471}"/>
            </a:ext>
          </a:extLst>
        </xdr:cNvPr>
        <xdr:cNvSpPr/>
      </xdr:nvSpPr>
      <xdr:spPr>
        <a:xfrm rot="10800000">
          <a:off x="11634816" y="50431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90</xdr:row>
      <xdr:rowOff>196274</xdr:rowOff>
    </xdr:from>
    <xdr:to>
      <xdr:col>9</xdr:col>
      <xdr:colOff>877456</xdr:colOff>
      <xdr:row>90</xdr:row>
      <xdr:rowOff>346365</xdr:rowOff>
    </xdr:to>
    <xdr:sp macro="" textlink="">
      <xdr:nvSpPr>
        <xdr:cNvPr id="360" name="Isosceles Triangle 359">
          <a:extLst>
            <a:ext uri="{FF2B5EF4-FFF2-40B4-BE49-F238E27FC236}">
              <a16:creationId xmlns:a16="http://schemas.microsoft.com/office/drawing/2014/main" id="{54FC046F-D847-4036-8975-75F866D12F87}"/>
            </a:ext>
          </a:extLst>
        </xdr:cNvPr>
        <xdr:cNvSpPr/>
      </xdr:nvSpPr>
      <xdr:spPr>
        <a:xfrm rot="10800000">
          <a:off x="11634817" y="50442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90</xdr:row>
      <xdr:rowOff>184727</xdr:rowOff>
    </xdr:from>
    <xdr:to>
      <xdr:col>9</xdr:col>
      <xdr:colOff>877455</xdr:colOff>
      <xdr:row>90</xdr:row>
      <xdr:rowOff>334818</xdr:rowOff>
    </xdr:to>
    <xdr:sp macro="" textlink="">
      <xdr:nvSpPr>
        <xdr:cNvPr id="361" name="Isosceles Triangle 360">
          <a:extLst>
            <a:ext uri="{FF2B5EF4-FFF2-40B4-BE49-F238E27FC236}">
              <a16:creationId xmlns:a16="http://schemas.microsoft.com/office/drawing/2014/main" id="{357DBEBC-B309-43FC-956D-F5559EAA9C87}"/>
            </a:ext>
          </a:extLst>
        </xdr:cNvPr>
        <xdr:cNvSpPr/>
      </xdr:nvSpPr>
      <xdr:spPr>
        <a:xfrm rot="10800000">
          <a:off x="11634816" y="50431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90</xdr:row>
      <xdr:rowOff>196274</xdr:rowOff>
    </xdr:from>
    <xdr:to>
      <xdr:col>9</xdr:col>
      <xdr:colOff>877456</xdr:colOff>
      <xdr:row>90</xdr:row>
      <xdr:rowOff>346365</xdr:rowOff>
    </xdr:to>
    <xdr:sp macro="" textlink="">
      <xdr:nvSpPr>
        <xdr:cNvPr id="362" name="Isosceles Triangle 361">
          <a:extLst>
            <a:ext uri="{FF2B5EF4-FFF2-40B4-BE49-F238E27FC236}">
              <a16:creationId xmlns:a16="http://schemas.microsoft.com/office/drawing/2014/main" id="{1F914D8E-7715-4C2A-BC11-9FBA7FE2E633}"/>
            </a:ext>
          </a:extLst>
        </xdr:cNvPr>
        <xdr:cNvSpPr/>
      </xdr:nvSpPr>
      <xdr:spPr>
        <a:xfrm rot="10800000">
          <a:off x="11634817" y="50442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96</xdr:row>
      <xdr:rowOff>184727</xdr:rowOff>
    </xdr:from>
    <xdr:to>
      <xdr:col>9</xdr:col>
      <xdr:colOff>877455</xdr:colOff>
      <xdr:row>96</xdr:row>
      <xdr:rowOff>334818</xdr:rowOff>
    </xdr:to>
    <xdr:sp macro="" textlink="">
      <xdr:nvSpPr>
        <xdr:cNvPr id="363" name="Isosceles Triangle 362">
          <a:extLst>
            <a:ext uri="{FF2B5EF4-FFF2-40B4-BE49-F238E27FC236}">
              <a16:creationId xmlns:a16="http://schemas.microsoft.com/office/drawing/2014/main" id="{1FB43F8D-32B6-40F0-B6BE-357DA2DEE3AA}"/>
            </a:ext>
          </a:extLst>
        </xdr:cNvPr>
        <xdr:cNvSpPr/>
      </xdr:nvSpPr>
      <xdr:spPr>
        <a:xfrm rot="10800000">
          <a:off x="11634816" y="53860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96</xdr:row>
      <xdr:rowOff>196274</xdr:rowOff>
    </xdr:from>
    <xdr:to>
      <xdr:col>9</xdr:col>
      <xdr:colOff>877456</xdr:colOff>
      <xdr:row>96</xdr:row>
      <xdr:rowOff>346365</xdr:rowOff>
    </xdr:to>
    <xdr:sp macro="" textlink="">
      <xdr:nvSpPr>
        <xdr:cNvPr id="364" name="Isosceles Triangle 363">
          <a:extLst>
            <a:ext uri="{FF2B5EF4-FFF2-40B4-BE49-F238E27FC236}">
              <a16:creationId xmlns:a16="http://schemas.microsoft.com/office/drawing/2014/main" id="{9F98B932-9705-4566-80C0-1868CE0AE4D8}"/>
            </a:ext>
          </a:extLst>
        </xdr:cNvPr>
        <xdr:cNvSpPr/>
      </xdr:nvSpPr>
      <xdr:spPr>
        <a:xfrm rot="10800000">
          <a:off x="11634817" y="53871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96</xdr:row>
      <xdr:rowOff>184727</xdr:rowOff>
    </xdr:from>
    <xdr:to>
      <xdr:col>9</xdr:col>
      <xdr:colOff>877455</xdr:colOff>
      <xdr:row>96</xdr:row>
      <xdr:rowOff>334818</xdr:rowOff>
    </xdr:to>
    <xdr:sp macro="" textlink="">
      <xdr:nvSpPr>
        <xdr:cNvPr id="365" name="Isosceles Triangle 364">
          <a:extLst>
            <a:ext uri="{FF2B5EF4-FFF2-40B4-BE49-F238E27FC236}">
              <a16:creationId xmlns:a16="http://schemas.microsoft.com/office/drawing/2014/main" id="{B7F0FA44-FDB2-4988-80BA-54EB067CC368}"/>
            </a:ext>
          </a:extLst>
        </xdr:cNvPr>
        <xdr:cNvSpPr/>
      </xdr:nvSpPr>
      <xdr:spPr>
        <a:xfrm rot="10800000">
          <a:off x="11634816" y="53860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96</xdr:row>
      <xdr:rowOff>196274</xdr:rowOff>
    </xdr:from>
    <xdr:to>
      <xdr:col>9</xdr:col>
      <xdr:colOff>877456</xdr:colOff>
      <xdr:row>96</xdr:row>
      <xdr:rowOff>346365</xdr:rowOff>
    </xdr:to>
    <xdr:sp macro="" textlink="">
      <xdr:nvSpPr>
        <xdr:cNvPr id="366" name="Isosceles Triangle 365">
          <a:extLst>
            <a:ext uri="{FF2B5EF4-FFF2-40B4-BE49-F238E27FC236}">
              <a16:creationId xmlns:a16="http://schemas.microsoft.com/office/drawing/2014/main" id="{B7FBAF75-AAF1-49D5-ADAE-A59EF288AF4C}"/>
            </a:ext>
          </a:extLst>
        </xdr:cNvPr>
        <xdr:cNvSpPr/>
      </xdr:nvSpPr>
      <xdr:spPr>
        <a:xfrm rot="10800000">
          <a:off x="11634817" y="53871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102</xdr:row>
      <xdr:rowOff>184727</xdr:rowOff>
    </xdr:from>
    <xdr:to>
      <xdr:col>9</xdr:col>
      <xdr:colOff>877455</xdr:colOff>
      <xdr:row>102</xdr:row>
      <xdr:rowOff>334818</xdr:rowOff>
    </xdr:to>
    <xdr:sp macro="" textlink="">
      <xdr:nvSpPr>
        <xdr:cNvPr id="367" name="Isosceles Triangle 366">
          <a:extLst>
            <a:ext uri="{FF2B5EF4-FFF2-40B4-BE49-F238E27FC236}">
              <a16:creationId xmlns:a16="http://schemas.microsoft.com/office/drawing/2014/main" id="{382FE972-8F81-496C-98B8-251476BCE8D4}"/>
            </a:ext>
          </a:extLst>
        </xdr:cNvPr>
        <xdr:cNvSpPr/>
      </xdr:nvSpPr>
      <xdr:spPr>
        <a:xfrm rot="10800000">
          <a:off x="11634816" y="57289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102</xdr:row>
      <xdr:rowOff>196274</xdr:rowOff>
    </xdr:from>
    <xdr:to>
      <xdr:col>9</xdr:col>
      <xdr:colOff>877456</xdr:colOff>
      <xdr:row>102</xdr:row>
      <xdr:rowOff>346365</xdr:rowOff>
    </xdr:to>
    <xdr:sp macro="" textlink="">
      <xdr:nvSpPr>
        <xdr:cNvPr id="368" name="Isosceles Triangle 367">
          <a:extLst>
            <a:ext uri="{FF2B5EF4-FFF2-40B4-BE49-F238E27FC236}">
              <a16:creationId xmlns:a16="http://schemas.microsoft.com/office/drawing/2014/main" id="{4317DE74-349A-4DBA-94BA-ECD6133A43AC}"/>
            </a:ext>
          </a:extLst>
        </xdr:cNvPr>
        <xdr:cNvSpPr/>
      </xdr:nvSpPr>
      <xdr:spPr>
        <a:xfrm rot="10800000">
          <a:off x="11634817" y="57300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102</xdr:row>
      <xdr:rowOff>184727</xdr:rowOff>
    </xdr:from>
    <xdr:to>
      <xdr:col>9</xdr:col>
      <xdr:colOff>877455</xdr:colOff>
      <xdr:row>102</xdr:row>
      <xdr:rowOff>334818</xdr:rowOff>
    </xdr:to>
    <xdr:sp macro="" textlink="">
      <xdr:nvSpPr>
        <xdr:cNvPr id="369" name="Isosceles Triangle 368">
          <a:extLst>
            <a:ext uri="{FF2B5EF4-FFF2-40B4-BE49-F238E27FC236}">
              <a16:creationId xmlns:a16="http://schemas.microsoft.com/office/drawing/2014/main" id="{367E6CB8-E612-410E-B868-606B22BA3F5C}"/>
            </a:ext>
          </a:extLst>
        </xdr:cNvPr>
        <xdr:cNvSpPr/>
      </xdr:nvSpPr>
      <xdr:spPr>
        <a:xfrm rot="10800000">
          <a:off x="11634816" y="57289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102</xdr:row>
      <xdr:rowOff>196274</xdr:rowOff>
    </xdr:from>
    <xdr:to>
      <xdr:col>9</xdr:col>
      <xdr:colOff>877456</xdr:colOff>
      <xdr:row>102</xdr:row>
      <xdr:rowOff>346365</xdr:rowOff>
    </xdr:to>
    <xdr:sp macro="" textlink="">
      <xdr:nvSpPr>
        <xdr:cNvPr id="370" name="Isosceles Triangle 369">
          <a:extLst>
            <a:ext uri="{FF2B5EF4-FFF2-40B4-BE49-F238E27FC236}">
              <a16:creationId xmlns:a16="http://schemas.microsoft.com/office/drawing/2014/main" id="{7EBDA0ED-2244-49A6-A7E1-236A11C8244C}"/>
            </a:ext>
          </a:extLst>
        </xdr:cNvPr>
        <xdr:cNvSpPr/>
      </xdr:nvSpPr>
      <xdr:spPr>
        <a:xfrm rot="10800000">
          <a:off x="11634817" y="57300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108</xdr:row>
      <xdr:rowOff>184727</xdr:rowOff>
    </xdr:from>
    <xdr:to>
      <xdr:col>9</xdr:col>
      <xdr:colOff>877455</xdr:colOff>
      <xdr:row>108</xdr:row>
      <xdr:rowOff>334818</xdr:rowOff>
    </xdr:to>
    <xdr:sp macro="" textlink="">
      <xdr:nvSpPr>
        <xdr:cNvPr id="371" name="Isosceles Triangle 370">
          <a:extLst>
            <a:ext uri="{FF2B5EF4-FFF2-40B4-BE49-F238E27FC236}">
              <a16:creationId xmlns:a16="http://schemas.microsoft.com/office/drawing/2014/main" id="{9DA42C32-7862-4879-8476-CEA0A3846A11}"/>
            </a:ext>
          </a:extLst>
        </xdr:cNvPr>
        <xdr:cNvSpPr/>
      </xdr:nvSpPr>
      <xdr:spPr>
        <a:xfrm rot="10800000">
          <a:off x="11634816" y="60718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108</xdr:row>
      <xdr:rowOff>196274</xdr:rowOff>
    </xdr:from>
    <xdr:to>
      <xdr:col>9</xdr:col>
      <xdr:colOff>877456</xdr:colOff>
      <xdr:row>108</xdr:row>
      <xdr:rowOff>346365</xdr:rowOff>
    </xdr:to>
    <xdr:sp macro="" textlink="">
      <xdr:nvSpPr>
        <xdr:cNvPr id="372" name="Isosceles Triangle 371">
          <a:extLst>
            <a:ext uri="{FF2B5EF4-FFF2-40B4-BE49-F238E27FC236}">
              <a16:creationId xmlns:a16="http://schemas.microsoft.com/office/drawing/2014/main" id="{D091AA78-958D-4A4C-8129-9CF0B46ED71B}"/>
            </a:ext>
          </a:extLst>
        </xdr:cNvPr>
        <xdr:cNvSpPr/>
      </xdr:nvSpPr>
      <xdr:spPr>
        <a:xfrm rot="10800000">
          <a:off x="11634817" y="60729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108</xdr:row>
      <xdr:rowOff>184727</xdr:rowOff>
    </xdr:from>
    <xdr:to>
      <xdr:col>9</xdr:col>
      <xdr:colOff>877455</xdr:colOff>
      <xdr:row>108</xdr:row>
      <xdr:rowOff>334818</xdr:rowOff>
    </xdr:to>
    <xdr:sp macro="" textlink="">
      <xdr:nvSpPr>
        <xdr:cNvPr id="373" name="Isosceles Triangle 372">
          <a:extLst>
            <a:ext uri="{FF2B5EF4-FFF2-40B4-BE49-F238E27FC236}">
              <a16:creationId xmlns:a16="http://schemas.microsoft.com/office/drawing/2014/main" id="{10EBBD73-2A87-4DC4-BB6D-B396A3D30548}"/>
            </a:ext>
          </a:extLst>
        </xdr:cNvPr>
        <xdr:cNvSpPr/>
      </xdr:nvSpPr>
      <xdr:spPr>
        <a:xfrm rot="10800000">
          <a:off x="11634816" y="60718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108</xdr:row>
      <xdr:rowOff>196274</xdr:rowOff>
    </xdr:from>
    <xdr:to>
      <xdr:col>9</xdr:col>
      <xdr:colOff>877456</xdr:colOff>
      <xdr:row>108</xdr:row>
      <xdr:rowOff>346365</xdr:rowOff>
    </xdr:to>
    <xdr:sp macro="" textlink="">
      <xdr:nvSpPr>
        <xdr:cNvPr id="374" name="Isosceles Triangle 373">
          <a:extLst>
            <a:ext uri="{FF2B5EF4-FFF2-40B4-BE49-F238E27FC236}">
              <a16:creationId xmlns:a16="http://schemas.microsoft.com/office/drawing/2014/main" id="{39E383C5-BB5E-441C-8D52-9A0F15D18FE6}"/>
            </a:ext>
          </a:extLst>
        </xdr:cNvPr>
        <xdr:cNvSpPr/>
      </xdr:nvSpPr>
      <xdr:spPr>
        <a:xfrm rot="10800000">
          <a:off x="11634817" y="60729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114</xdr:row>
      <xdr:rowOff>184727</xdr:rowOff>
    </xdr:from>
    <xdr:to>
      <xdr:col>9</xdr:col>
      <xdr:colOff>877455</xdr:colOff>
      <xdr:row>114</xdr:row>
      <xdr:rowOff>334818</xdr:rowOff>
    </xdr:to>
    <xdr:sp macro="" textlink="">
      <xdr:nvSpPr>
        <xdr:cNvPr id="375" name="Isosceles Triangle 374">
          <a:extLst>
            <a:ext uri="{FF2B5EF4-FFF2-40B4-BE49-F238E27FC236}">
              <a16:creationId xmlns:a16="http://schemas.microsoft.com/office/drawing/2014/main" id="{41C7DB1B-C493-4CE6-A467-4C6A0844CF14}"/>
            </a:ext>
          </a:extLst>
        </xdr:cNvPr>
        <xdr:cNvSpPr/>
      </xdr:nvSpPr>
      <xdr:spPr>
        <a:xfrm rot="10800000">
          <a:off x="11634816" y="64147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114</xdr:row>
      <xdr:rowOff>196274</xdr:rowOff>
    </xdr:from>
    <xdr:to>
      <xdr:col>9</xdr:col>
      <xdr:colOff>877456</xdr:colOff>
      <xdr:row>114</xdr:row>
      <xdr:rowOff>346365</xdr:rowOff>
    </xdr:to>
    <xdr:sp macro="" textlink="">
      <xdr:nvSpPr>
        <xdr:cNvPr id="376" name="Isosceles Triangle 375">
          <a:extLst>
            <a:ext uri="{FF2B5EF4-FFF2-40B4-BE49-F238E27FC236}">
              <a16:creationId xmlns:a16="http://schemas.microsoft.com/office/drawing/2014/main" id="{1CD0D779-48FE-404F-B92C-9A80F8730907}"/>
            </a:ext>
          </a:extLst>
        </xdr:cNvPr>
        <xdr:cNvSpPr/>
      </xdr:nvSpPr>
      <xdr:spPr>
        <a:xfrm rot="10800000">
          <a:off x="11634817" y="64158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114</xdr:row>
      <xdr:rowOff>184727</xdr:rowOff>
    </xdr:from>
    <xdr:to>
      <xdr:col>9</xdr:col>
      <xdr:colOff>877455</xdr:colOff>
      <xdr:row>114</xdr:row>
      <xdr:rowOff>334818</xdr:rowOff>
    </xdr:to>
    <xdr:sp macro="" textlink="">
      <xdr:nvSpPr>
        <xdr:cNvPr id="377" name="Isosceles Triangle 376">
          <a:extLst>
            <a:ext uri="{FF2B5EF4-FFF2-40B4-BE49-F238E27FC236}">
              <a16:creationId xmlns:a16="http://schemas.microsoft.com/office/drawing/2014/main" id="{EB3D3BC1-6004-4342-A4F6-5EFE3922254D}"/>
            </a:ext>
          </a:extLst>
        </xdr:cNvPr>
        <xdr:cNvSpPr/>
      </xdr:nvSpPr>
      <xdr:spPr>
        <a:xfrm rot="10800000">
          <a:off x="11634816" y="64147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114</xdr:row>
      <xdr:rowOff>196274</xdr:rowOff>
    </xdr:from>
    <xdr:to>
      <xdr:col>9</xdr:col>
      <xdr:colOff>877456</xdr:colOff>
      <xdr:row>114</xdr:row>
      <xdr:rowOff>346365</xdr:rowOff>
    </xdr:to>
    <xdr:sp macro="" textlink="">
      <xdr:nvSpPr>
        <xdr:cNvPr id="378" name="Isosceles Triangle 377">
          <a:extLst>
            <a:ext uri="{FF2B5EF4-FFF2-40B4-BE49-F238E27FC236}">
              <a16:creationId xmlns:a16="http://schemas.microsoft.com/office/drawing/2014/main" id="{74E712DB-CC3B-4BC3-9CD5-670728C154C6}"/>
            </a:ext>
          </a:extLst>
        </xdr:cNvPr>
        <xdr:cNvSpPr/>
      </xdr:nvSpPr>
      <xdr:spPr>
        <a:xfrm rot="10800000">
          <a:off x="11634817" y="64158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120</xdr:row>
      <xdr:rowOff>184727</xdr:rowOff>
    </xdr:from>
    <xdr:to>
      <xdr:col>9</xdr:col>
      <xdr:colOff>877455</xdr:colOff>
      <xdr:row>120</xdr:row>
      <xdr:rowOff>334818</xdr:rowOff>
    </xdr:to>
    <xdr:sp macro="" textlink="">
      <xdr:nvSpPr>
        <xdr:cNvPr id="379" name="Isosceles Triangle 378">
          <a:extLst>
            <a:ext uri="{FF2B5EF4-FFF2-40B4-BE49-F238E27FC236}">
              <a16:creationId xmlns:a16="http://schemas.microsoft.com/office/drawing/2014/main" id="{3ACF55D3-ED10-4F60-9ACB-A6FA0BE13CB7}"/>
            </a:ext>
          </a:extLst>
        </xdr:cNvPr>
        <xdr:cNvSpPr/>
      </xdr:nvSpPr>
      <xdr:spPr>
        <a:xfrm rot="10800000">
          <a:off x="11634816" y="67576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120</xdr:row>
      <xdr:rowOff>196274</xdr:rowOff>
    </xdr:from>
    <xdr:to>
      <xdr:col>9</xdr:col>
      <xdr:colOff>877456</xdr:colOff>
      <xdr:row>120</xdr:row>
      <xdr:rowOff>346365</xdr:rowOff>
    </xdr:to>
    <xdr:sp macro="" textlink="">
      <xdr:nvSpPr>
        <xdr:cNvPr id="380" name="Isosceles Triangle 379">
          <a:extLst>
            <a:ext uri="{FF2B5EF4-FFF2-40B4-BE49-F238E27FC236}">
              <a16:creationId xmlns:a16="http://schemas.microsoft.com/office/drawing/2014/main" id="{C63F98BA-7C48-4490-AA7F-EE2A49EF0C46}"/>
            </a:ext>
          </a:extLst>
        </xdr:cNvPr>
        <xdr:cNvSpPr/>
      </xdr:nvSpPr>
      <xdr:spPr>
        <a:xfrm rot="10800000">
          <a:off x="11634817" y="67587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120</xdr:row>
      <xdr:rowOff>184727</xdr:rowOff>
    </xdr:from>
    <xdr:to>
      <xdr:col>9</xdr:col>
      <xdr:colOff>877455</xdr:colOff>
      <xdr:row>120</xdr:row>
      <xdr:rowOff>334818</xdr:rowOff>
    </xdr:to>
    <xdr:sp macro="" textlink="">
      <xdr:nvSpPr>
        <xdr:cNvPr id="381" name="Isosceles Triangle 380">
          <a:extLst>
            <a:ext uri="{FF2B5EF4-FFF2-40B4-BE49-F238E27FC236}">
              <a16:creationId xmlns:a16="http://schemas.microsoft.com/office/drawing/2014/main" id="{3A9EBE9A-9350-43F4-8BEC-24756E89FE79}"/>
            </a:ext>
          </a:extLst>
        </xdr:cNvPr>
        <xdr:cNvSpPr/>
      </xdr:nvSpPr>
      <xdr:spPr>
        <a:xfrm rot="10800000">
          <a:off x="11634816" y="67576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120</xdr:row>
      <xdr:rowOff>196274</xdr:rowOff>
    </xdr:from>
    <xdr:to>
      <xdr:col>9</xdr:col>
      <xdr:colOff>877456</xdr:colOff>
      <xdr:row>120</xdr:row>
      <xdr:rowOff>346365</xdr:rowOff>
    </xdr:to>
    <xdr:sp macro="" textlink="">
      <xdr:nvSpPr>
        <xdr:cNvPr id="382" name="Isosceles Triangle 381">
          <a:extLst>
            <a:ext uri="{FF2B5EF4-FFF2-40B4-BE49-F238E27FC236}">
              <a16:creationId xmlns:a16="http://schemas.microsoft.com/office/drawing/2014/main" id="{D6FC2D6D-8A81-446D-8E0A-597B8E4FB457}"/>
            </a:ext>
          </a:extLst>
        </xdr:cNvPr>
        <xdr:cNvSpPr/>
      </xdr:nvSpPr>
      <xdr:spPr>
        <a:xfrm rot="10800000">
          <a:off x="11634817" y="67587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126</xdr:row>
      <xdr:rowOff>184727</xdr:rowOff>
    </xdr:from>
    <xdr:to>
      <xdr:col>9</xdr:col>
      <xdr:colOff>877455</xdr:colOff>
      <xdr:row>126</xdr:row>
      <xdr:rowOff>334818</xdr:rowOff>
    </xdr:to>
    <xdr:sp macro="" textlink="">
      <xdr:nvSpPr>
        <xdr:cNvPr id="383" name="Isosceles Triangle 382">
          <a:extLst>
            <a:ext uri="{FF2B5EF4-FFF2-40B4-BE49-F238E27FC236}">
              <a16:creationId xmlns:a16="http://schemas.microsoft.com/office/drawing/2014/main" id="{42620616-2EF8-4D56-8306-A7BC4EFC7053}"/>
            </a:ext>
          </a:extLst>
        </xdr:cNvPr>
        <xdr:cNvSpPr/>
      </xdr:nvSpPr>
      <xdr:spPr>
        <a:xfrm rot="10800000">
          <a:off x="11634816" y="71005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126</xdr:row>
      <xdr:rowOff>196274</xdr:rowOff>
    </xdr:from>
    <xdr:to>
      <xdr:col>9</xdr:col>
      <xdr:colOff>877456</xdr:colOff>
      <xdr:row>126</xdr:row>
      <xdr:rowOff>346365</xdr:rowOff>
    </xdr:to>
    <xdr:sp macro="" textlink="">
      <xdr:nvSpPr>
        <xdr:cNvPr id="384" name="Isosceles Triangle 383">
          <a:extLst>
            <a:ext uri="{FF2B5EF4-FFF2-40B4-BE49-F238E27FC236}">
              <a16:creationId xmlns:a16="http://schemas.microsoft.com/office/drawing/2014/main" id="{74347109-28C4-491B-9A53-357F5B1D0AB5}"/>
            </a:ext>
          </a:extLst>
        </xdr:cNvPr>
        <xdr:cNvSpPr/>
      </xdr:nvSpPr>
      <xdr:spPr>
        <a:xfrm rot="10800000">
          <a:off x="11634817" y="71016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126</xdr:row>
      <xdr:rowOff>184727</xdr:rowOff>
    </xdr:from>
    <xdr:to>
      <xdr:col>9</xdr:col>
      <xdr:colOff>877455</xdr:colOff>
      <xdr:row>126</xdr:row>
      <xdr:rowOff>334818</xdr:rowOff>
    </xdr:to>
    <xdr:sp macro="" textlink="">
      <xdr:nvSpPr>
        <xdr:cNvPr id="385" name="Isosceles Triangle 384">
          <a:extLst>
            <a:ext uri="{FF2B5EF4-FFF2-40B4-BE49-F238E27FC236}">
              <a16:creationId xmlns:a16="http://schemas.microsoft.com/office/drawing/2014/main" id="{F1CA2E2D-7B2C-45D9-910A-1D199C619EC1}"/>
            </a:ext>
          </a:extLst>
        </xdr:cNvPr>
        <xdr:cNvSpPr/>
      </xdr:nvSpPr>
      <xdr:spPr>
        <a:xfrm rot="10800000">
          <a:off x="11634816" y="71005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126</xdr:row>
      <xdr:rowOff>196274</xdr:rowOff>
    </xdr:from>
    <xdr:to>
      <xdr:col>9</xdr:col>
      <xdr:colOff>877456</xdr:colOff>
      <xdr:row>126</xdr:row>
      <xdr:rowOff>346365</xdr:rowOff>
    </xdr:to>
    <xdr:sp macro="" textlink="">
      <xdr:nvSpPr>
        <xdr:cNvPr id="386" name="Isosceles Triangle 385">
          <a:extLst>
            <a:ext uri="{FF2B5EF4-FFF2-40B4-BE49-F238E27FC236}">
              <a16:creationId xmlns:a16="http://schemas.microsoft.com/office/drawing/2014/main" id="{A040F2F4-09B7-4F88-834C-7D785D707BA2}"/>
            </a:ext>
          </a:extLst>
        </xdr:cNvPr>
        <xdr:cNvSpPr/>
      </xdr:nvSpPr>
      <xdr:spPr>
        <a:xfrm rot="10800000">
          <a:off x="11634817" y="71016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132</xdr:row>
      <xdr:rowOff>184727</xdr:rowOff>
    </xdr:from>
    <xdr:to>
      <xdr:col>9</xdr:col>
      <xdr:colOff>877455</xdr:colOff>
      <xdr:row>132</xdr:row>
      <xdr:rowOff>334818</xdr:rowOff>
    </xdr:to>
    <xdr:sp macro="" textlink="">
      <xdr:nvSpPr>
        <xdr:cNvPr id="387" name="Isosceles Triangle 386">
          <a:extLst>
            <a:ext uri="{FF2B5EF4-FFF2-40B4-BE49-F238E27FC236}">
              <a16:creationId xmlns:a16="http://schemas.microsoft.com/office/drawing/2014/main" id="{F555A111-9A5A-4D0C-83D1-04A9CD37D76A}"/>
            </a:ext>
          </a:extLst>
        </xdr:cNvPr>
        <xdr:cNvSpPr/>
      </xdr:nvSpPr>
      <xdr:spPr>
        <a:xfrm rot="10800000">
          <a:off x="11634816" y="74434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132</xdr:row>
      <xdr:rowOff>196274</xdr:rowOff>
    </xdr:from>
    <xdr:to>
      <xdr:col>9</xdr:col>
      <xdr:colOff>877456</xdr:colOff>
      <xdr:row>132</xdr:row>
      <xdr:rowOff>346365</xdr:rowOff>
    </xdr:to>
    <xdr:sp macro="" textlink="">
      <xdr:nvSpPr>
        <xdr:cNvPr id="388" name="Isosceles Triangle 387">
          <a:extLst>
            <a:ext uri="{FF2B5EF4-FFF2-40B4-BE49-F238E27FC236}">
              <a16:creationId xmlns:a16="http://schemas.microsoft.com/office/drawing/2014/main" id="{C1CCF685-18BC-4692-843D-811BBE55BC60}"/>
            </a:ext>
          </a:extLst>
        </xdr:cNvPr>
        <xdr:cNvSpPr/>
      </xdr:nvSpPr>
      <xdr:spPr>
        <a:xfrm rot="10800000">
          <a:off x="11634817" y="74445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132</xdr:row>
      <xdr:rowOff>184727</xdr:rowOff>
    </xdr:from>
    <xdr:to>
      <xdr:col>9</xdr:col>
      <xdr:colOff>877455</xdr:colOff>
      <xdr:row>132</xdr:row>
      <xdr:rowOff>334818</xdr:rowOff>
    </xdr:to>
    <xdr:sp macro="" textlink="">
      <xdr:nvSpPr>
        <xdr:cNvPr id="389" name="Isosceles Triangle 388">
          <a:extLst>
            <a:ext uri="{FF2B5EF4-FFF2-40B4-BE49-F238E27FC236}">
              <a16:creationId xmlns:a16="http://schemas.microsoft.com/office/drawing/2014/main" id="{36C552DA-E441-4A07-BF37-60CB66898C92}"/>
            </a:ext>
          </a:extLst>
        </xdr:cNvPr>
        <xdr:cNvSpPr/>
      </xdr:nvSpPr>
      <xdr:spPr>
        <a:xfrm rot="10800000">
          <a:off x="11634816" y="74434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132</xdr:row>
      <xdr:rowOff>196274</xdr:rowOff>
    </xdr:from>
    <xdr:to>
      <xdr:col>9</xdr:col>
      <xdr:colOff>877456</xdr:colOff>
      <xdr:row>132</xdr:row>
      <xdr:rowOff>346365</xdr:rowOff>
    </xdr:to>
    <xdr:sp macro="" textlink="">
      <xdr:nvSpPr>
        <xdr:cNvPr id="390" name="Isosceles Triangle 389">
          <a:extLst>
            <a:ext uri="{FF2B5EF4-FFF2-40B4-BE49-F238E27FC236}">
              <a16:creationId xmlns:a16="http://schemas.microsoft.com/office/drawing/2014/main" id="{C21CA3E6-8751-46A3-88F2-8EDEA33A1367}"/>
            </a:ext>
          </a:extLst>
        </xdr:cNvPr>
        <xdr:cNvSpPr/>
      </xdr:nvSpPr>
      <xdr:spPr>
        <a:xfrm rot="10800000">
          <a:off x="11634817" y="74445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138</xdr:row>
      <xdr:rowOff>184727</xdr:rowOff>
    </xdr:from>
    <xdr:to>
      <xdr:col>9</xdr:col>
      <xdr:colOff>877455</xdr:colOff>
      <xdr:row>138</xdr:row>
      <xdr:rowOff>334818</xdr:rowOff>
    </xdr:to>
    <xdr:sp macro="" textlink="">
      <xdr:nvSpPr>
        <xdr:cNvPr id="391" name="Isosceles Triangle 390">
          <a:extLst>
            <a:ext uri="{FF2B5EF4-FFF2-40B4-BE49-F238E27FC236}">
              <a16:creationId xmlns:a16="http://schemas.microsoft.com/office/drawing/2014/main" id="{BA507C91-7D61-4444-B10A-04BF1C4A38C5}"/>
            </a:ext>
          </a:extLst>
        </xdr:cNvPr>
        <xdr:cNvSpPr/>
      </xdr:nvSpPr>
      <xdr:spPr>
        <a:xfrm rot="10800000">
          <a:off x="11634816" y="77863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138</xdr:row>
      <xdr:rowOff>196274</xdr:rowOff>
    </xdr:from>
    <xdr:to>
      <xdr:col>9</xdr:col>
      <xdr:colOff>877456</xdr:colOff>
      <xdr:row>138</xdr:row>
      <xdr:rowOff>346365</xdr:rowOff>
    </xdr:to>
    <xdr:sp macro="" textlink="">
      <xdr:nvSpPr>
        <xdr:cNvPr id="392" name="Isosceles Triangle 391">
          <a:extLst>
            <a:ext uri="{FF2B5EF4-FFF2-40B4-BE49-F238E27FC236}">
              <a16:creationId xmlns:a16="http://schemas.microsoft.com/office/drawing/2014/main" id="{A9492CE3-DDBD-471B-858B-79C431A8204E}"/>
            </a:ext>
          </a:extLst>
        </xdr:cNvPr>
        <xdr:cNvSpPr/>
      </xdr:nvSpPr>
      <xdr:spPr>
        <a:xfrm rot="10800000">
          <a:off x="11634817" y="77874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138</xdr:row>
      <xdr:rowOff>184727</xdr:rowOff>
    </xdr:from>
    <xdr:to>
      <xdr:col>9</xdr:col>
      <xdr:colOff>877455</xdr:colOff>
      <xdr:row>138</xdr:row>
      <xdr:rowOff>334818</xdr:rowOff>
    </xdr:to>
    <xdr:sp macro="" textlink="">
      <xdr:nvSpPr>
        <xdr:cNvPr id="393" name="Isosceles Triangle 392">
          <a:extLst>
            <a:ext uri="{FF2B5EF4-FFF2-40B4-BE49-F238E27FC236}">
              <a16:creationId xmlns:a16="http://schemas.microsoft.com/office/drawing/2014/main" id="{E879E508-13ED-4458-B37C-1D92C1B4DBF4}"/>
            </a:ext>
          </a:extLst>
        </xdr:cNvPr>
        <xdr:cNvSpPr/>
      </xdr:nvSpPr>
      <xdr:spPr>
        <a:xfrm rot="10800000">
          <a:off x="11634816" y="7786300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138</xdr:row>
      <xdr:rowOff>196274</xdr:rowOff>
    </xdr:from>
    <xdr:to>
      <xdr:col>9</xdr:col>
      <xdr:colOff>877456</xdr:colOff>
      <xdr:row>138</xdr:row>
      <xdr:rowOff>346365</xdr:rowOff>
    </xdr:to>
    <xdr:sp macro="" textlink="">
      <xdr:nvSpPr>
        <xdr:cNvPr id="394" name="Isosceles Triangle 393">
          <a:extLst>
            <a:ext uri="{FF2B5EF4-FFF2-40B4-BE49-F238E27FC236}">
              <a16:creationId xmlns:a16="http://schemas.microsoft.com/office/drawing/2014/main" id="{F561083D-A3A7-4166-9981-36A658725675}"/>
            </a:ext>
          </a:extLst>
        </xdr:cNvPr>
        <xdr:cNvSpPr/>
      </xdr:nvSpPr>
      <xdr:spPr>
        <a:xfrm rot="10800000">
          <a:off x="11634817" y="7787455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</xdr:row>
      <xdr:rowOff>196272</xdr:rowOff>
    </xdr:from>
    <xdr:to>
      <xdr:col>8</xdr:col>
      <xdr:colOff>2320636</xdr:colOff>
      <xdr:row>7</xdr:row>
      <xdr:rowOff>346363</xdr:rowOff>
    </xdr:to>
    <xdr:sp macro="" textlink="">
      <xdr:nvSpPr>
        <xdr:cNvPr id="73" name="Isosceles Triangle 72">
          <a:extLst>
            <a:ext uri="{FF2B5EF4-FFF2-40B4-BE49-F238E27FC236}">
              <a16:creationId xmlns:a16="http://schemas.microsoft.com/office/drawing/2014/main" id="{1E456521-7EC1-4AE7-86CF-0CC57C93A750}"/>
            </a:ext>
          </a:extLst>
        </xdr:cNvPr>
        <xdr:cNvSpPr/>
      </xdr:nvSpPr>
      <xdr:spPr>
        <a:xfrm rot="10800000">
          <a:off x="10799617" y="333571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</xdr:row>
      <xdr:rowOff>196272</xdr:rowOff>
    </xdr:from>
    <xdr:to>
      <xdr:col>8</xdr:col>
      <xdr:colOff>2320636</xdr:colOff>
      <xdr:row>8</xdr:row>
      <xdr:rowOff>346363</xdr:rowOff>
    </xdr:to>
    <xdr:sp macro="" textlink="">
      <xdr:nvSpPr>
        <xdr:cNvPr id="74" name="Isosceles Triangle 73">
          <a:extLst>
            <a:ext uri="{FF2B5EF4-FFF2-40B4-BE49-F238E27FC236}">
              <a16:creationId xmlns:a16="http://schemas.microsoft.com/office/drawing/2014/main" id="{A813380C-A7D6-4EE4-9AC2-968DBEA800B4}"/>
            </a:ext>
          </a:extLst>
        </xdr:cNvPr>
        <xdr:cNvSpPr/>
      </xdr:nvSpPr>
      <xdr:spPr>
        <a:xfrm rot="10800000">
          <a:off x="10799617" y="390721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</xdr:row>
      <xdr:rowOff>196272</xdr:rowOff>
    </xdr:from>
    <xdr:to>
      <xdr:col>8</xdr:col>
      <xdr:colOff>2320636</xdr:colOff>
      <xdr:row>9</xdr:row>
      <xdr:rowOff>346363</xdr:rowOff>
    </xdr:to>
    <xdr:sp macro="" textlink="">
      <xdr:nvSpPr>
        <xdr:cNvPr id="75" name="Isosceles Triangle 74">
          <a:extLst>
            <a:ext uri="{FF2B5EF4-FFF2-40B4-BE49-F238E27FC236}">
              <a16:creationId xmlns:a16="http://schemas.microsoft.com/office/drawing/2014/main" id="{DF8D5AA4-6A5A-4860-A25D-EDE62D56A83D}"/>
            </a:ext>
          </a:extLst>
        </xdr:cNvPr>
        <xdr:cNvSpPr/>
      </xdr:nvSpPr>
      <xdr:spPr>
        <a:xfrm rot="10800000">
          <a:off x="10799617" y="447871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</xdr:row>
      <xdr:rowOff>196272</xdr:rowOff>
    </xdr:from>
    <xdr:to>
      <xdr:col>8</xdr:col>
      <xdr:colOff>2320636</xdr:colOff>
      <xdr:row>10</xdr:row>
      <xdr:rowOff>346363</xdr:rowOff>
    </xdr:to>
    <xdr:sp macro="" textlink="">
      <xdr:nvSpPr>
        <xdr:cNvPr id="76" name="Isosceles Triangle 75">
          <a:extLst>
            <a:ext uri="{FF2B5EF4-FFF2-40B4-BE49-F238E27FC236}">
              <a16:creationId xmlns:a16="http://schemas.microsoft.com/office/drawing/2014/main" id="{FCB06BBF-CC6C-4D10-95E1-B92551BD793E}"/>
            </a:ext>
          </a:extLst>
        </xdr:cNvPr>
        <xdr:cNvSpPr/>
      </xdr:nvSpPr>
      <xdr:spPr>
        <a:xfrm rot="10800000">
          <a:off x="10799617" y="505021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</xdr:row>
      <xdr:rowOff>196272</xdr:rowOff>
    </xdr:from>
    <xdr:to>
      <xdr:col>8</xdr:col>
      <xdr:colOff>2320636</xdr:colOff>
      <xdr:row>11</xdr:row>
      <xdr:rowOff>346363</xdr:rowOff>
    </xdr:to>
    <xdr:sp macro="" textlink="">
      <xdr:nvSpPr>
        <xdr:cNvPr id="77" name="Isosceles Triangle 76">
          <a:extLst>
            <a:ext uri="{FF2B5EF4-FFF2-40B4-BE49-F238E27FC236}">
              <a16:creationId xmlns:a16="http://schemas.microsoft.com/office/drawing/2014/main" id="{41F733D0-C3A0-4F57-AB6D-D736286E6765}"/>
            </a:ext>
          </a:extLst>
        </xdr:cNvPr>
        <xdr:cNvSpPr/>
      </xdr:nvSpPr>
      <xdr:spPr>
        <a:xfrm rot="10800000">
          <a:off x="10799617" y="562171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</xdr:row>
      <xdr:rowOff>196272</xdr:rowOff>
    </xdr:from>
    <xdr:to>
      <xdr:col>8</xdr:col>
      <xdr:colOff>2320636</xdr:colOff>
      <xdr:row>8</xdr:row>
      <xdr:rowOff>346363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AEF65AB6-F49E-453A-A99F-B136C502E2BD}"/>
            </a:ext>
          </a:extLst>
        </xdr:cNvPr>
        <xdr:cNvSpPr/>
      </xdr:nvSpPr>
      <xdr:spPr>
        <a:xfrm rot="10800000">
          <a:off x="10799617" y="390721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</xdr:row>
      <xdr:rowOff>196272</xdr:rowOff>
    </xdr:from>
    <xdr:to>
      <xdr:col>8</xdr:col>
      <xdr:colOff>2320636</xdr:colOff>
      <xdr:row>9</xdr:row>
      <xdr:rowOff>346363</xdr:rowOff>
    </xdr:to>
    <xdr:sp macro="" textlink="">
      <xdr:nvSpPr>
        <xdr:cNvPr id="79" name="Isosceles Triangle 78">
          <a:extLst>
            <a:ext uri="{FF2B5EF4-FFF2-40B4-BE49-F238E27FC236}">
              <a16:creationId xmlns:a16="http://schemas.microsoft.com/office/drawing/2014/main" id="{5800D28D-4DD9-4790-A3E6-C3921C631E6E}"/>
            </a:ext>
          </a:extLst>
        </xdr:cNvPr>
        <xdr:cNvSpPr/>
      </xdr:nvSpPr>
      <xdr:spPr>
        <a:xfrm rot="10800000">
          <a:off x="10799617" y="447871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</xdr:row>
      <xdr:rowOff>196272</xdr:rowOff>
    </xdr:from>
    <xdr:to>
      <xdr:col>8</xdr:col>
      <xdr:colOff>2320636</xdr:colOff>
      <xdr:row>10</xdr:row>
      <xdr:rowOff>346363</xdr:rowOff>
    </xdr:to>
    <xdr:sp macro="" textlink="">
      <xdr:nvSpPr>
        <xdr:cNvPr id="80" name="Isosceles Triangle 79">
          <a:extLst>
            <a:ext uri="{FF2B5EF4-FFF2-40B4-BE49-F238E27FC236}">
              <a16:creationId xmlns:a16="http://schemas.microsoft.com/office/drawing/2014/main" id="{09C07DD9-1600-40E3-A9A3-4530022AF485}"/>
            </a:ext>
          </a:extLst>
        </xdr:cNvPr>
        <xdr:cNvSpPr/>
      </xdr:nvSpPr>
      <xdr:spPr>
        <a:xfrm rot="10800000">
          <a:off x="10799617" y="505021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</xdr:row>
      <xdr:rowOff>196272</xdr:rowOff>
    </xdr:from>
    <xdr:to>
      <xdr:col>8</xdr:col>
      <xdr:colOff>2320636</xdr:colOff>
      <xdr:row>11</xdr:row>
      <xdr:rowOff>346363</xdr:rowOff>
    </xdr:to>
    <xdr:sp macro="" textlink="">
      <xdr:nvSpPr>
        <xdr:cNvPr id="81" name="Isosceles Triangle 80">
          <a:extLst>
            <a:ext uri="{FF2B5EF4-FFF2-40B4-BE49-F238E27FC236}">
              <a16:creationId xmlns:a16="http://schemas.microsoft.com/office/drawing/2014/main" id="{D9F53F7D-CC79-406B-A783-4B4BEBC3CA71}"/>
            </a:ext>
          </a:extLst>
        </xdr:cNvPr>
        <xdr:cNvSpPr/>
      </xdr:nvSpPr>
      <xdr:spPr>
        <a:xfrm rot="10800000">
          <a:off x="10799617" y="562171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</xdr:row>
      <xdr:rowOff>196272</xdr:rowOff>
    </xdr:from>
    <xdr:to>
      <xdr:col>8</xdr:col>
      <xdr:colOff>2320636</xdr:colOff>
      <xdr:row>8</xdr:row>
      <xdr:rowOff>346363</xdr:rowOff>
    </xdr:to>
    <xdr:sp macro="" textlink="">
      <xdr:nvSpPr>
        <xdr:cNvPr id="82" name="Isosceles Triangle 81">
          <a:extLst>
            <a:ext uri="{FF2B5EF4-FFF2-40B4-BE49-F238E27FC236}">
              <a16:creationId xmlns:a16="http://schemas.microsoft.com/office/drawing/2014/main" id="{F7C8F45A-FB97-430D-8C09-20C069F6AD37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</xdr:row>
      <xdr:rowOff>196272</xdr:rowOff>
    </xdr:from>
    <xdr:to>
      <xdr:col>8</xdr:col>
      <xdr:colOff>2320636</xdr:colOff>
      <xdr:row>8</xdr:row>
      <xdr:rowOff>346363</xdr:rowOff>
    </xdr:to>
    <xdr:sp macro="" textlink="">
      <xdr:nvSpPr>
        <xdr:cNvPr id="83" name="Isosceles Triangle 82">
          <a:extLst>
            <a:ext uri="{FF2B5EF4-FFF2-40B4-BE49-F238E27FC236}">
              <a16:creationId xmlns:a16="http://schemas.microsoft.com/office/drawing/2014/main" id="{5D8EF789-9CB0-494C-9FAE-9A28CE4EA2C7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</xdr:row>
      <xdr:rowOff>196272</xdr:rowOff>
    </xdr:from>
    <xdr:to>
      <xdr:col>8</xdr:col>
      <xdr:colOff>2320636</xdr:colOff>
      <xdr:row>8</xdr:row>
      <xdr:rowOff>346363</xdr:rowOff>
    </xdr:to>
    <xdr:sp macro="" textlink="">
      <xdr:nvSpPr>
        <xdr:cNvPr id="84" name="Isosceles Triangle 83">
          <a:extLst>
            <a:ext uri="{FF2B5EF4-FFF2-40B4-BE49-F238E27FC236}">
              <a16:creationId xmlns:a16="http://schemas.microsoft.com/office/drawing/2014/main" id="{7C6DB2DE-C717-45B7-A593-B5C1C4F03271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</xdr:row>
      <xdr:rowOff>196272</xdr:rowOff>
    </xdr:from>
    <xdr:to>
      <xdr:col>8</xdr:col>
      <xdr:colOff>2320636</xdr:colOff>
      <xdr:row>9</xdr:row>
      <xdr:rowOff>346363</xdr:rowOff>
    </xdr:to>
    <xdr:sp macro="" textlink="">
      <xdr:nvSpPr>
        <xdr:cNvPr id="85" name="Isosceles Triangle 84">
          <a:extLst>
            <a:ext uri="{FF2B5EF4-FFF2-40B4-BE49-F238E27FC236}">
              <a16:creationId xmlns:a16="http://schemas.microsoft.com/office/drawing/2014/main" id="{3BCBC2DF-FEBD-4437-BCF6-367C815837C9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</xdr:row>
      <xdr:rowOff>196272</xdr:rowOff>
    </xdr:from>
    <xdr:to>
      <xdr:col>8</xdr:col>
      <xdr:colOff>2320636</xdr:colOff>
      <xdr:row>9</xdr:row>
      <xdr:rowOff>346363</xdr:rowOff>
    </xdr:to>
    <xdr:sp macro="" textlink="">
      <xdr:nvSpPr>
        <xdr:cNvPr id="86" name="Isosceles Triangle 85">
          <a:extLst>
            <a:ext uri="{FF2B5EF4-FFF2-40B4-BE49-F238E27FC236}">
              <a16:creationId xmlns:a16="http://schemas.microsoft.com/office/drawing/2014/main" id="{02EB0F0A-04EF-43EB-ABFB-F7C782F0698E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</xdr:row>
      <xdr:rowOff>196272</xdr:rowOff>
    </xdr:from>
    <xdr:to>
      <xdr:col>8</xdr:col>
      <xdr:colOff>2320636</xdr:colOff>
      <xdr:row>9</xdr:row>
      <xdr:rowOff>346363</xdr:rowOff>
    </xdr:to>
    <xdr:sp macro="" textlink="">
      <xdr:nvSpPr>
        <xdr:cNvPr id="87" name="Isosceles Triangle 86">
          <a:extLst>
            <a:ext uri="{FF2B5EF4-FFF2-40B4-BE49-F238E27FC236}">
              <a16:creationId xmlns:a16="http://schemas.microsoft.com/office/drawing/2014/main" id="{FB903503-8912-48FE-A418-97F0DEE1C9F6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</xdr:row>
      <xdr:rowOff>196272</xdr:rowOff>
    </xdr:from>
    <xdr:to>
      <xdr:col>10</xdr:col>
      <xdr:colOff>2320636</xdr:colOff>
      <xdr:row>7</xdr:row>
      <xdr:rowOff>346363</xdr:rowOff>
    </xdr:to>
    <xdr:sp macro="" textlink="">
      <xdr:nvSpPr>
        <xdr:cNvPr id="88" name="Isosceles Triangle 87">
          <a:extLst>
            <a:ext uri="{FF2B5EF4-FFF2-40B4-BE49-F238E27FC236}">
              <a16:creationId xmlns:a16="http://schemas.microsoft.com/office/drawing/2014/main" id="{EDE54624-0548-4529-9AB6-B4B1D7D5D3A6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</xdr:row>
      <xdr:rowOff>196272</xdr:rowOff>
    </xdr:from>
    <xdr:to>
      <xdr:col>10</xdr:col>
      <xdr:colOff>2320636</xdr:colOff>
      <xdr:row>7</xdr:row>
      <xdr:rowOff>346363</xdr:rowOff>
    </xdr:to>
    <xdr:sp macro="" textlink="">
      <xdr:nvSpPr>
        <xdr:cNvPr id="89" name="Isosceles Triangle 88">
          <a:extLst>
            <a:ext uri="{FF2B5EF4-FFF2-40B4-BE49-F238E27FC236}">
              <a16:creationId xmlns:a16="http://schemas.microsoft.com/office/drawing/2014/main" id="{80D94633-D903-44C5-9876-3000182437F3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</xdr:row>
      <xdr:rowOff>196272</xdr:rowOff>
    </xdr:from>
    <xdr:to>
      <xdr:col>10</xdr:col>
      <xdr:colOff>2320636</xdr:colOff>
      <xdr:row>7</xdr:row>
      <xdr:rowOff>346363</xdr:rowOff>
    </xdr:to>
    <xdr:sp macro="" textlink="">
      <xdr:nvSpPr>
        <xdr:cNvPr id="90" name="Isosceles Triangle 89">
          <a:extLst>
            <a:ext uri="{FF2B5EF4-FFF2-40B4-BE49-F238E27FC236}">
              <a16:creationId xmlns:a16="http://schemas.microsoft.com/office/drawing/2014/main" id="{2E2C82DE-9334-4257-BB5E-530ED4489EEF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</xdr:row>
      <xdr:rowOff>196272</xdr:rowOff>
    </xdr:from>
    <xdr:to>
      <xdr:col>10</xdr:col>
      <xdr:colOff>2320636</xdr:colOff>
      <xdr:row>8</xdr:row>
      <xdr:rowOff>346363</xdr:rowOff>
    </xdr:to>
    <xdr:sp macro="" textlink="">
      <xdr:nvSpPr>
        <xdr:cNvPr id="91" name="Isosceles Triangle 90">
          <a:extLst>
            <a:ext uri="{FF2B5EF4-FFF2-40B4-BE49-F238E27FC236}">
              <a16:creationId xmlns:a16="http://schemas.microsoft.com/office/drawing/2014/main" id="{89A6274B-DDFF-4C3E-8E0C-49AB88F6FDBB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</xdr:row>
      <xdr:rowOff>196272</xdr:rowOff>
    </xdr:from>
    <xdr:to>
      <xdr:col>10</xdr:col>
      <xdr:colOff>2320636</xdr:colOff>
      <xdr:row>8</xdr:row>
      <xdr:rowOff>346363</xdr:rowOff>
    </xdr:to>
    <xdr:sp macro="" textlink="">
      <xdr:nvSpPr>
        <xdr:cNvPr id="92" name="Isosceles Triangle 91">
          <a:extLst>
            <a:ext uri="{FF2B5EF4-FFF2-40B4-BE49-F238E27FC236}">
              <a16:creationId xmlns:a16="http://schemas.microsoft.com/office/drawing/2014/main" id="{1424F8A7-015C-42F8-81E8-89042AEA4503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</xdr:row>
      <xdr:rowOff>196272</xdr:rowOff>
    </xdr:from>
    <xdr:to>
      <xdr:col>10</xdr:col>
      <xdr:colOff>2320636</xdr:colOff>
      <xdr:row>8</xdr:row>
      <xdr:rowOff>346363</xdr:rowOff>
    </xdr:to>
    <xdr:sp macro="" textlink="">
      <xdr:nvSpPr>
        <xdr:cNvPr id="93" name="Isosceles Triangle 92">
          <a:extLst>
            <a:ext uri="{FF2B5EF4-FFF2-40B4-BE49-F238E27FC236}">
              <a16:creationId xmlns:a16="http://schemas.microsoft.com/office/drawing/2014/main" id="{B240B7A7-AF4D-4A86-BFAC-BA889EBBDB01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</xdr:row>
      <xdr:rowOff>196272</xdr:rowOff>
    </xdr:from>
    <xdr:to>
      <xdr:col>10</xdr:col>
      <xdr:colOff>2320636</xdr:colOff>
      <xdr:row>9</xdr:row>
      <xdr:rowOff>346363</xdr:rowOff>
    </xdr:to>
    <xdr:sp macro="" textlink="">
      <xdr:nvSpPr>
        <xdr:cNvPr id="94" name="Isosceles Triangle 93">
          <a:extLst>
            <a:ext uri="{FF2B5EF4-FFF2-40B4-BE49-F238E27FC236}">
              <a16:creationId xmlns:a16="http://schemas.microsoft.com/office/drawing/2014/main" id="{21900484-CB44-47A8-87A6-7875E9DCCAAA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</xdr:row>
      <xdr:rowOff>196272</xdr:rowOff>
    </xdr:from>
    <xdr:to>
      <xdr:col>10</xdr:col>
      <xdr:colOff>2320636</xdr:colOff>
      <xdr:row>9</xdr:row>
      <xdr:rowOff>346363</xdr:rowOff>
    </xdr:to>
    <xdr:sp macro="" textlink="">
      <xdr:nvSpPr>
        <xdr:cNvPr id="95" name="Isosceles Triangle 94">
          <a:extLst>
            <a:ext uri="{FF2B5EF4-FFF2-40B4-BE49-F238E27FC236}">
              <a16:creationId xmlns:a16="http://schemas.microsoft.com/office/drawing/2014/main" id="{06230274-53B4-403C-8A98-F670210F8956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</xdr:row>
      <xdr:rowOff>196272</xdr:rowOff>
    </xdr:from>
    <xdr:to>
      <xdr:col>10</xdr:col>
      <xdr:colOff>2320636</xdr:colOff>
      <xdr:row>9</xdr:row>
      <xdr:rowOff>346363</xdr:rowOff>
    </xdr:to>
    <xdr:sp macro="" textlink="">
      <xdr:nvSpPr>
        <xdr:cNvPr id="96" name="Isosceles Triangle 95">
          <a:extLst>
            <a:ext uri="{FF2B5EF4-FFF2-40B4-BE49-F238E27FC236}">
              <a16:creationId xmlns:a16="http://schemas.microsoft.com/office/drawing/2014/main" id="{83DAE51C-8040-4B6E-A77E-D1C4DD03459D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</xdr:row>
      <xdr:rowOff>196272</xdr:rowOff>
    </xdr:from>
    <xdr:to>
      <xdr:col>10</xdr:col>
      <xdr:colOff>2320636</xdr:colOff>
      <xdr:row>10</xdr:row>
      <xdr:rowOff>346363</xdr:rowOff>
    </xdr:to>
    <xdr:sp macro="" textlink="">
      <xdr:nvSpPr>
        <xdr:cNvPr id="97" name="Isosceles Triangle 96">
          <a:extLst>
            <a:ext uri="{FF2B5EF4-FFF2-40B4-BE49-F238E27FC236}">
              <a16:creationId xmlns:a16="http://schemas.microsoft.com/office/drawing/2014/main" id="{0D7A740C-F1A5-42F6-981F-BEED2DC6A434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</xdr:row>
      <xdr:rowOff>196272</xdr:rowOff>
    </xdr:from>
    <xdr:to>
      <xdr:col>10</xdr:col>
      <xdr:colOff>2320636</xdr:colOff>
      <xdr:row>10</xdr:row>
      <xdr:rowOff>346363</xdr:rowOff>
    </xdr:to>
    <xdr:sp macro="" textlink="">
      <xdr:nvSpPr>
        <xdr:cNvPr id="98" name="Isosceles Triangle 97">
          <a:extLst>
            <a:ext uri="{FF2B5EF4-FFF2-40B4-BE49-F238E27FC236}">
              <a16:creationId xmlns:a16="http://schemas.microsoft.com/office/drawing/2014/main" id="{0EA89E7A-B229-45C1-9E4E-65125066EC78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</xdr:row>
      <xdr:rowOff>196272</xdr:rowOff>
    </xdr:from>
    <xdr:to>
      <xdr:col>10</xdr:col>
      <xdr:colOff>2320636</xdr:colOff>
      <xdr:row>10</xdr:row>
      <xdr:rowOff>346363</xdr:rowOff>
    </xdr:to>
    <xdr:sp macro="" textlink="">
      <xdr:nvSpPr>
        <xdr:cNvPr id="99" name="Isosceles Triangle 98">
          <a:extLst>
            <a:ext uri="{FF2B5EF4-FFF2-40B4-BE49-F238E27FC236}">
              <a16:creationId xmlns:a16="http://schemas.microsoft.com/office/drawing/2014/main" id="{BDC66DE9-0A05-4868-B88E-8054EC2C462B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</xdr:row>
      <xdr:rowOff>196272</xdr:rowOff>
    </xdr:from>
    <xdr:to>
      <xdr:col>10</xdr:col>
      <xdr:colOff>2320636</xdr:colOff>
      <xdr:row>11</xdr:row>
      <xdr:rowOff>346363</xdr:rowOff>
    </xdr:to>
    <xdr:sp macro="" textlink="">
      <xdr:nvSpPr>
        <xdr:cNvPr id="100" name="Isosceles Triangle 99">
          <a:extLst>
            <a:ext uri="{FF2B5EF4-FFF2-40B4-BE49-F238E27FC236}">
              <a16:creationId xmlns:a16="http://schemas.microsoft.com/office/drawing/2014/main" id="{85E76415-5076-4F3E-9E57-0B2EDB31E6D4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</xdr:row>
      <xdr:rowOff>196272</xdr:rowOff>
    </xdr:from>
    <xdr:to>
      <xdr:col>10</xdr:col>
      <xdr:colOff>2320636</xdr:colOff>
      <xdr:row>11</xdr:row>
      <xdr:rowOff>346363</xdr:rowOff>
    </xdr:to>
    <xdr:sp macro="" textlink="">
      <xdr:nvSpPr>
        <xdr:cNvPr id="101" name="Isosceles Triangle 100">
          <a:extLst>
            <a:ext uri="{FF2B5EF4-FFF2-40B4-BE49-F238E27FC236}">
              <a16:creationId xmlns:a16="http://schemas.microsoft.com/office/drawing/2014/main" id="{0C2F41BE-C748-4635-AA0D-7FEF2DF044E0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</xdr:row>
      <xdr:rowOff>196272</xdr:rowOff>
    </xdr:from>
    <xdr:to>
      <xdr:col>10</xdr:col>
      <xdr:colOff>2320636</xdr:colOff>
      <xdr:row>11</xdr:row>
      <xdr:rowOff>346363</xdr:rowOff>
    </xdr:to>
    <xdr:sp macro="" textlink="">
      <xdr:nvSpPr>
        <xdr:cNvPr id="102" name="Isosceles Triangle 101">
          <a:extLst>
            <a:ext uri="{FF2B5EF4-FFF2-40B4-BE49-F238E27FC236}">
              <a16:creationId xmlns:a16="http://schemas.microsoft.com/office/drawing/2014/main" id="{431D681C-8B17-4FE6-B38F-B782893C311A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</xdr:row>
      <xdr:rowOff>196272</xdr:rowOff>
    </xdr:from>
    <xdr:to>
      <xdr:col>8</xdr:col>
      <xdr:colOff>2320636</xdr:colOff>
      <xdr:row>13</xdr:row>
      <xdr:rowOff>346363</xdr:rowOff>
    </xdr:to>
    <xdr:sp macro="" textlink="">
      <xdr:nvSpPr>
        <xdr:cNvPr id="276" name="Isosceles Triangle 275">
          <a:extLst>
            <a:ext uri="{FF2B5EF4-FFF2-40B4-BE49-F238E27FC236}">
              <a16:creationId xmlns:a16="http://schemas.microsoft.com/office/drawing/2014/main" id="{E04FBA2E-BA96-450C-9B96-CD05B005DA9F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</xdr:row>
      <xdr:rowOff>196272</xdr:rowOff>
    </xdr:from>
    <xdr:to>
      <xdr:col>8</xdr:col>
      <xdr:colOff>2320636</xdr:colOff>
      <xdr:row>13</xdr:row>
      <xdr:rowOff>346363</xdr:rowOff>
    </xdr:to>
    <xdr:sp macro="" textlink="">
      <xdr:nvSpPr>
        <xdr:cNvPr id="277" name="Isosceles Triangle 276">
          <a:extLst>
            <a:ext uri="{FF2B5EF4-FFF2-40B4-BE49-F238E27FC236}">
              <a16:creationId xmlns:a16="http://schemas.microsoft.com/office/drawing/2014/main" id="{592FE1DD-6807-4CF2-A0E7-E501F586793C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</xdr:row>
      <xdr:rowOff>196272</xdr:rowOff>
    </xdr:from>
    <xdr:to>
      <xdr:col>8</xdr:col>
      <xdr:colOff>2320636</xdr:colOff>
      <xdr:row>13</xdr:row>
      <xdr:rowOff>346363</xdr:rowOff>
    </xdr:to>
    <xdr:sp macro="" textlink="">
      <xdr:nvSpPr>
        <xdr:cNvPr id="278" name="Isosceles Triangle 277">
          <a:extLst>
            <a:ext uri="{FF2B5EF4-FFF2-40B4-BE49-F238E27FC236}">
              <a16:creationId xmlns:a16="http://schemas.microsoft.com/office/drawing/2014/main" id="{01545756-63EB-411C-A6BC-CB334EA81C7D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</xdr:row>
      <xdr:rowOff>196272</xdr:rowOff>
    </xdr:from>
    <xdr:to>
      <xdr:col>8</xdr:col>
      <xdr:colOff>2320636</xdr:colOff>
      <xdr:row>14</xdr:row>
      <xdr:rowOff>346363</xdr:rowOff>
    </xdr:to>
    <xdr:sp macro="" textlink="">
      <xdr:nvSpPr>
        <xdr:cNvPr id="279" name="Isosceles Triangle 278">
          <a:extLst>
            <a:ext uri="{FF2B5EF4-FFF2-40B4-BE49-F238E27FC236}">
              <a16:creationId xmlns:a16="http://schemas.microsoft.com/office/drawing/2014/main" id="{018E9703-B07A-4888-AD8B-B386D253B518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</xdr:row>
      <xdr:rowOff>196272</xdr:rowOff>
    </xdr:from>
    <xdr:to>
      <xdr:col>8</xdr:col>
      <xdr:colOff>2320636</xdr:colOff>
      <xdr:row>14</xdr:row>
      <xdr:rowOff>346363</xdr:rowOff>
    </xdr:to>
    <xdr:sp macro="" textlink="">
      <xdr:nvSpPr>
        <xdr:cNvPr id="280" name="Isosceles Triangle 279">
          <a:extLst>
            <a:ext uri="{FF2B5EF4-FFF2-40B4-BE49-F238E27FC236}">
              <a16:creationId xmlns:a16="http://schemas.microsoft.com/office/drawing/2014/main" id="{1C32A76E-7FC6-4576-B368-94DAE6ACBF5B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</xdr:row>
      <xdr:rowOff>196272</xdr:rowOff>
    </xdr:from>
    <xdr:to>
      <xdr:col>8</xdr:col>
      <xdr:colOff>2320636</xdr:colOff>
      <xdr:row>14</xdr:row>
      <xdr:rowOff>346363</xdr:rowOff>
    </xdr:to>
    <xdr:sp macro="" textlink="">
      <xdr:nvSpPr>
        <xdr:cNvPr id="281" name="Isosceles Triangle 280">
          <a:extLst>
            <a:ext uri="{FF2B5EF4-FFF2-40B4-BE49-F238E27FC236}">
              <a16:creationId xmlns:a16="http://schemas.microsoft.com/office/drawing/2014/main" id="{AFAF8D81-D681-44FF-A47A-9787B206A404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</xdr:row>
      <xdr:rowOff>196272</xdr:rowOff>
    </xdr:from>
    <xdr:to>
      <xdr:col>8</xdr:col>
      <xdr:colOff>2320636</xdr:colOff>
      <xdr:row>15</xdr:row>
      <xdr:rowOff>346363</xdr:rowOff>
    </xdr:to>
    <xdr:sp macro="" textlink="">
      <xdr:nvSpPr>
        <xdr:cNvPr id="282" name="Isosceles Triangle 281">
          <a:extLst>
            <a:ext uri="{FF2B5EF4-FFF2-40B4-BE49-F238E27FC236}">
              <a16:creationId xmlns:a16="http://schemas.microsoft.com/office/drawing/2014/main" id="{D02AAC16-1DFC-484E-83A8-333C0DBA3C8B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</xdr:row>
      <xdr:rowOff>196272</xdr:rowOff>
    </xdr:from>
    <xdr:to>
      <xdr:col>8</xdr:col>
      <xdr:colOff>2320636</xdr:colOff>
      <xdr:row>15</xdr:row>
      <xdr:rowOff>346363</xdr:rowOff>
    </xdr:to>
    <xdr:sp macro="" textlink="">
      <xdr:nvSpPr>
        <xdr:cNvPr id="283" name="Isosceles Triangle 282">
          <a:extLst>
            <a:ext uri="{FF2B5EF4-FFF2-40B4-BE49-F238E27FC236}">
              <a16:creationId xmlns:a16="http://schemas.microsoft.com/office/drawing/2014/main" id="{4C55D224-8E86-4162-ADFF-8F0F26AC8336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</xdr:row>
      <xdr:rowOff>196272</xdr:rowOff>
    </xdr:from>
    <xdr:to>
      <xdr:col>8</xdr:col>
      <xdr:colOff>2320636</xdr:colOff>
      <xdr:row>15</xdr:row>
      <xdr:rowOff>346363</xdr:rowOff>
    </xdr:to>
    <xdr:sp macro="" textlink="">
      <xdr:nvSpPr>
        <xdr:cNvPr id="284" name="Isosceles Triangle 283">
          <a:extLst>
            <a:ext uri="{FF2B5EF4-FFF2-40B4-BE49-F238E27FC236}">
              <a16:creationId xmlns:a16="http://schemas.microsoft.com/office/drawing/2014/main" id="{35878524-9EB0-4418-881B-E6CCD81BE9F3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</xdr:row>
      <xdr:rowOff>196272</xdr:rowOff>
    </xdr:from>
    <xdr:to>
      <xdr:col>8</xdr:col>
      <xdr:colOff>2320636</xdr:colOff>
      <xdr:row>16</xdr:row>
      <xdr:rowOff>346363</xdr:rowOff>
    </xdr:to>
    <xdr:sp macro="" textlink="">
      <xdr:nvSpPr>
        <xdr:cNvPr id="285" name="Isosceles Triangle 284">
          <a:extLst>
            <a:ext uri="{FF2B5EF4-FFF2-40B4-BE49-F238E27FC236}">
              <a16:creationId xmlns:a16="http://schemas.microsoft.com/office/drawing/2014/main" id="{D6FD065E-96A9-476D-8CAA-C84087599D97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</xdr:row>
      <xdr:rowOff>196272</xdr:rowOff>
    </xdr:from>
    <xdr:to>
      <xdr:col>8</xdr:col>
      <xdr:colOff>2320636</xdr:colOff>
      <xdr:row>16</xdr:row>
      <xdr:rowOff>346363</xdr:rowOff>
    </xdr:to>
    <xdr:sp macro="" textlink="">
      <xdr:nvSpPr>
        <xdr:cNvPr id="286" name="Isosceles Triangle 285">
          <a:extLst>
            <a:ext uri="{FF2B5EF4-FFF2-40B4-BE49-F238E27FC236}">
              <a16:creationId xmlns:a16="http://schemas.microsoft.com/office/drawing/2014/main" id="{1088A716-9189-4076-91DF-FBB5ACBB3B01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</xdr:row>
      <xdr:rowOff>196272</xdr:rowOff>
    </xdr:from>
    <xdr:to>
      <xdr:col>8</xdr:col>
      <xdr:colOff>2320636</xdr:colOff>
      <xdr:row>16</xdr:row>
      <xdr:rowOff>346363</xdr:rowOff>
    </xdr:to>
    <xdr:sp macro="" textlink="">
      <xdr:nvSpPr>
        <xdr:cNvPr id="287" name="Isosceles Triangle 286">
          <a:extLst>
            <a:ext uri="{FF2B5EF4-FFF2-40B4-BE49-F238E27FC236}">
              <a16:creationId xmlns:a16="http://schemas.microsoft.com/office/drawing/2014/main" id="{E43EB9F0-8778-4B6A-877A-586FAD30134C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</xdr:row>
      <xdr:rowOff>196272</xdr:rowOff>
    </xdr:from>
    <xdr:to>
      <xdr:col>8</xdr:col>
      <xdr:colOff>2320636</xdr:colOff>
      <xdr:row>17</xdr:row>
      <xdr:rowOff>346363</xdr:rowOff>
    </xdr:to>
    <xdr:sp macro="" textlink="">
      <xdr:nvSpPr>
        <xdr:cNvPr id="288" name="Isosceles Triangle 287">
          <a:extLst>
            <a:ext uri="{FF2B5EF4-FFF2-40B4-BE49-F238E27FC236}">
              <a16:creationId xmlns:a16="http://schemas.microsoft.com/office/drawing/2014/main" id="{37C1890D-DD76-4979-B691-5DAFEEFFEE5D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</xdr:row>
      <xdr:rowOff>196272</xdr:rowOff>
    </xdr:from>
    <xdr:to>
      <xdr:col>8</xdr:col>
      <xdr:colOff>2320636</xdr:colOff>
      <xdr:row>17</xdr:row>
      <xdr:rowOff>346363</xdr:rowOff>
    </xdr:to>
    <xdr:sp macro="" textlink="">
      <xdr:nvSpPr>
        <xdr:cNvPr id="289" name="Isosceles Triangle 288">
          <a:extLst>
            <a:ext uri="{FF2B5EF4-FFF2-40B4-BE49-F238E27FC236}">
              <a16:creationId xmlns:a16="http://schemas.microsoft.com/office/drawing/2014/main" id="{DF1F54CE-24C0-4364-AC04-A5F98101AB87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</xdr:row>
      <xdr:rowOff>196272</xdr:rowOff>
    </xdr:from>
    <xdr:to>
      <xdr:col>8</xdr:col>
      <xdr:colOff>2320636</xdr:colOff>
      <xdr:row>17</xdr:row>
      <xdr:rowOff>346363</xdr:rowOff>
    </xdr:to>
    <xdr:sp macro="" textlink="">
      <xdr:nvSpPr>
        <xdr:cNvPr id="293" name="Isosceles Triangle 292">
          <a:extLst>
            <a:ext uri="{FF2B5EF4-FFF2-40B4-BE49-F238E27FC236}">
              <a16:creationId xmlns:a16="http://schemas.microsoft.com/office/drawing/2014/main" id="{82A8B59A-ABB0-42B2-97EB-390C98F0D408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</xdr:row>
      <xdr:rowOff>196272</xdr:rowOff>
    </xdr:from>
    <xdr:to>
      <xdr:col>10</xdr:col>
      <xdr:colOff>2320636</xdr:colOff>
      <xdr:row>13</xdr:row>
      <xdr:rowOff>346363</xdr:rowOff>
    </xdr:to>
    <xdr:sp macro="" textlink="">
      <xdr:nvSpPr>
        <xdr:cNvPr id="294" name="Isosceles Triangle 293">
          <a:extLst>
            <a:ext uri="{FF2B5EF4-FFF2-40B4-BE49-F238E27FC236}">
              <a16:creationId xmlns:a16="http://schemas.microsoft.com/office/drawing/2014/main" id="{7F0A06DE-85F6-474B-83F2-ED3A3EF6DFB9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</xdr:row>
      <xdr:rowOff>196272</xdr:rowOff>
    </xdr:from>
    <xdr:to>
      <xdr:col>10</xdr:col>
      <xdr:colOff>2320636</xdr:colOff>
      <xdr:row>13</xdr:row>
      <xdr:rowOff>346363</xdr:rowOff>
    </xdr:to>
    <xdr:sp macro="" textlink="">
      <xdr:nvSpPr>
        <xdr:cNvPr id="295" name="Isosceles Triangle 294">
          <a:extLst>
            <a:ext uri="{FF2B5EF4-FFF2-40B4-BE49-F238E27FC236}">
              <a16:creationId xmlns:a16="http://schemas.microsoft.com/office/drawing/2014/main" id="{801B648C-8E80-4585-B25F-061F390405BF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</xdr:row>
      <xdr:rowOff>196272</xdr:rowOff>
    </xdr:from>
    <xdr:to>
      <xdr:col>10</xdr:col>
      <xdr:colOff>2320636</xdr:colOff>
      <xdr:row>13</xdr:row>
      <xdr:rowOff>346363</xdr:rowOff>
    </xdr:to>
    <xdr:sp macro="" textlink="">
      <xdr:nvSpPr>
        <xdr:cNvPr id="296" name="Isosceles Triangle 295">
          <a:extLst>
            <a:ext uri="{FF2B5EF4-FFF2-40B4-BE49-F238E27FC236}">
              <a16:creationId xmlns:a16="http://schemas.microsoft.com/office/drawing/2014/main" id="{B94B97CE-2114-4F6D-B63F-09DE2568AC89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</xdr:row>
      <xdr:rowOff>196272</xdr:rowOff>
    </xdr:from>
    <xdr:to>
      <xdr:col>10</xdr:col>
      <xdr:colOff>2320636</xdr:colOff>
      <xdr:row>14</xdr:row>
      <xdr:rowOff>346363</xdr:rowOff>
    </xdr:to>
    <xdr:sp macro="" textlink="">
      <xdr:nvSpPr>
        <xdr:cNvPr id="297" name="Isosceles Triangle 296">
          <a:extLst>
            <a:ext uri="{FF2B5EF4-FFF2-40B4-BE49-F238E27FC236}">
              <a16:creationId xmlns:a16="http://schemas.microsoft.com/office/drawing/2014/main" id="{08A60822-8874-4E59-B6A7-1EC54107E192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</xdr:row>
      <xdr:rowOff>196272</xdr:rowOff>
    </xdr:from>
    <xdr:to>
      <xdr:col>10</xdr:col>
      <xdr:colOff>2320636</xdr:colOff>
      <xdr:row>14</xdr:row>
      <xdr:rowOff>346363</xdr:rowOff>
    </xdr:to>
    <xdr:sp macro="" textlink="">
      <xdr:nvSpPr>
        <xdr:cNvPr id="298" name="Isosceles Triangle 297">
          <a:extLst>
            <a:ext uri="{FF2B5EF4-FFF2-40B4-BE49-F238E27FC236}">
              <a16:creationId xmlns:a16="http://schemas.microsoft.com/office/drawing/2014/main" id="{AAF6F13E-A8CC-4DEA-BE9C-18F1B449702E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</xdr:row>
      <xdr:rowOff>196272</xdr:rowOff>
    </xdr:from>
    <xdr:to>
      <xdr:col>10</xdr:col>
      <xdr:colOff>2320636</xdr:colOff>
      <xdr:row>14</xdr:row>
      <xdr:rowOff>346363</xdr:rowOff>
    </xdr:to>
    <xdr:sp macro="" textlink="">
      <xdr:nvSpPr>
        <xdr:cNvPr id="299" name="Isosceles Triangle 298">
          <a:extLst>
            <a:ext uri="{FF2B5EF4-FFF2-40B4-BE49-F238E27FC236}">
              <a16:creationId xmlns:a16="http://schemas.microsoft.com/office/drawing/2014/main" id="{13E7E2E5-DB41-4E1E-A3AC-AAE36E6BD8A7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</xdr:row>
      <xdr:rowOff>196272</xdr:rowOff>
    </xdr:from>
    <xdr:to>
      <xdr:col>10</xdr:col>
      <xdr:colOff>2320636</xdr:colOff>
      <xdr:row>15</xdr:row>
      <xdr:rowOff>346363</xdr:rowOff>
    </xdr:to>
    <xdr:sp macro="" textlink="">
      <xdr:nvSpPr>
        <xdr:cNvPr id="300" name="Isosceles Triangle 299">
          <a:extLst>
            <a:ext uri="{FF2B5EF4-FFF2-40B4-BE49-F238E27FC236}">
              <a16:creationId xmlns:a16="http://schemas.microsoft.com/office/drawing/2014/main" id="{12CA0C0C-75AA-4A1D-982C-9C3E2CFB9C91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</xdr:row>
      <xdr:rowOff>196272</xdr:rowOff>
    </xdr:from>
    <xdr:to>
      <xdr:col>10</xdr:col>
      <xdr:colOff>2320636</xdr:colOff>
      <xdr:row>15</xdr:row>
      <xdr:rowOff>346363</xdr:rowOff>
    </xdr:to>
    <xdr:sp macro="" textlink="">
      <xdr:nvSpPr>
        <xdr:cNvPr id="301" name="Isosceles Triangle 300">
          <a:extLst>
            <a:ext uri="{FF2B5EF4-FFF2-40B4-BE49-F238E27FC236}">
              <a16:creationId xmlns:a16="http://schemas.microsoft.com/office/drawing/2014/main" id="{65F14243-725A-4BEE-88B6-22260407216E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</xdr:row>
      <xdr:rowOff>196272</xdr:rowOff>
    </xdr:from>
    <xdr:to>
      <xdr:col>10</xdr:col>
      <xdr:colOff>2320636</xdr:colOff>
      <xdr:row>15</xdr:row>
      <xdr:rowOff>346363</xdr:rowOff>
    </xdr:to>
    <xdr:sp macro="" textlink="">
      <xdr:nvSpPr>
        <xdr:cNvPr id="302" name="Isosceles Triangle 301">
          <a:extLst>
            <a:ext uri="{FF2B5EF4-FFF2-40B4-BE49-F238E27FC236}">
              <a16:creationId xmlns:a16="http://schemas.microsoft.com/office/drawing/2014/main" id="{21944A6A-420C-46E2-9767-5A3384B2CBEF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</xdr:row>
      <xdr:rowOff>196272</xdr:rowOff>
    </xdr:from>
    <xdr:to>
      <xdr:col>10</xdr:col>
      <xdr:colOff>2320636</xdr:colOff>
      <xdr:row>16</xdr:row>
      <xdr:rowOff>346363</xdr:rowOff>
    </xdr:to>
    <xdr:sp macro="" textlink="">
      <xdr:nvSpPr>
        <xdr:cNvPr id="303" name="Isosceles Triangle 302">
          <a:extLst>
            <a:ext uri="{FF2B5EF4-FFF2-40B4-BE49-F238E27FC236}">
              <a16:creationId xmlns:a16="http://schemas.microsoft.com/office/drawing/2014/main" id="{FC433C19-61CA-4CE7-BF3E-FE539C3DE8ED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</xdr:row>
      <xdr:rowOff>196272</xdr:rowOff>
    </xdr:from>
    <xdr:to>
      <xdr:col>10</xdr:col>
      <xdr:colOff>2320636</xdr:colOff>
      <xdr:row>16</xdr:row>
      <xdr:rowOff>346363</xdr:rowOff>
    </xdr:to>
    <xdr:sp macro="" textlink="">
      <xdr:nvSpPr>
        <xdr:cNvPr id="326" name="Isosceles Triangle 325">
          <a:extLst>
            <a:ext uri="{FF2B5EF4-FFF2-40B4-BE49-F238E27FC236}">
              <a16:creationId xmlns:a16="http://schemas.microsoft.com/office/drawing/2014/main" id="{429FA7C1-FE40-4F43-8DDB-604394865F06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</xdr:row>
      <xdr:rowOff>196272</xdr:rowOff>
    </xdr:from>
    <xdr:to>
      <xdr:col>10</xdr:col>
      <xdr:colOff>2320636</xdr:colOff>
      <xdr:row>16</xdr:row>
      <xdr:rowOff>346363</xdr:rowOff>
    </xdr:to>
    <xdr:sp macro="" textlink="">
      <xdr:nvSpPr>
        <xdr:cNvPr id="327" name="Isosceles Triangle 326">
          <a:extLst>
            <a:ext uri="{FF2B5EF4-FFF2-40B4-BE49-F238E27FC236}">
              <a16:creationId xmlns:a16="http://schemas.microsoft.com/office/drawing/2014/main" id="{804D0BD9-AAA1-4A84-ABCD-1F61C2FE7615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</xdr:row>
      <xdr:rowOff>196272</xdr:rowOff>
    </xdr:from>
    <xdr:to>
      <xdr:col>10</xdr:col>
      <xdr:colOff>2320636</xdr:colOff>
      <xdr:row>17</xdr:row>
      <xdr:rowOff>346363</xdr:rowOff>
    </xdr:to>
    <xdr:sp macro="" textlink="">
      <xdr:nvSpPr>
        <xdr:cNvPr id="328" name="Isosceles Triangle 327">
          <a:extLst>
            <a:ext uri="{FF2B5EF4-FFF2-40B4-BE49-F238E27FC236}">
              <a16:creationId xmlns:a16="http://schemas.microsoft.com/office/drawing/2014/main" id="{7F94A2B2-F2D9-4C77-8FFF-768C6949C458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</xdr:row>
      <xdr:rowOff>196272</xdr:rowOff>
    </xdr:from>
    <xdr:to>
      <xdr:col>10</xdr:col>
      <xdr:colOff>2320636</xdr:colOff>
      <xdr:row>17</xdr:row>
      <xdr:rowOff>346363</xdr:rowOff>
    </xdr:to>
    <xdr:sp macro="" textlink="">
      <xdr:nvSpPr>
        <xdr:cNvPr id="329" name="Isosceles Triangle 328">
          <a:extLst>
            <a:ext uri="{FF2B5EF4-FFF2-40B4-BE49-F238E27FC236}">
              <a16:creationId xmlns:a16="http://schemas.microsoft.com/office/drawing/2014/main" id="{B4B58021-64F7-4F9D-88BB-18F037DAA1B5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</xdr:row>
      <xdr:rowOff>196272</xdr:rowOff>
    </xdr:from>
    <xdr:to>
      <xdr:col>10</xdr:col>
      <xdr:colOff>2320636</xdr:colOff>
      <xdr:row>17</xdr:row>
      <xdr:rowOff>346363</xdr:rowOff>
    </xdr:to>
    <xdr:sp macro="" textlink="">
      <xdr:nvSpPr>
        <xdr:cNvPr id="330" name="Isosceles Triangle 329">
          <a:extLst>
            <a:ext uri="{FF2B5EF4-FFF2-40B4-BE49-F238E27FC236}">
              <a16:creationId xmlns:a16="http://schemas.microsoft.com/office/drawing/2014/main" id="{061B78E9-1983-4B9D-BD67-2564B7C4D270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19</xdr:row>
      <xdr:rowOff>196272</xdr:rowOff>
    </xdr:from>
    <xdr:to>
      <xdr:col>8</xdr:col>
      <xdr:colOff>2320636</xdr:colOff>
      <xdr:row>19</xdr:row>
      <xdr:rowOff>346363</xdr:rowOff>
    </xdr:to>
    <xdr:sp macro="" textlink="">
      <xdr:nvSpPr>
        <xdr:cNvPr id="395" name="Isosceles Triangle 394">
          <a:extLst>
            <a:ext uri="{FF2B5EF4-FFF2-40B4-BE49-F238E27FC236}">
              <a16:creationId xmlns:a16="http://schemas.microsoft.com/office/drawing/2014/main" id="{7849C726-B999-4D92-A07B-938C5EA00B90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19</xdr:row>
      <xdr:rowOff>196272</xdr:rowOff>
    </xdr:from>
    <xdr:to>
      <xdr:col>8</xdr:col>
      <xdr:colOff>2320636</xdr:colOff>
      <xdr:row>19</xdr:row>
      <xdr:rowOff>346363</xdr:rowOff>
    </xdr:to>
    <xdr:sp macro="" textlink="">
      <xdr:nvSpPr>
        <xdr:cNvPr id="396" name="Isosceles Triangle 395">
          <a:extLst>
            <a:ext uri="{FF2B5EF4-FFF2-40B4-BE49-F238E27FC236}">
              <a16:creationId xmlns:a16="http://schemas.microsoft.com/office/drawing/2014/main" id="{E0AB9581-687E-420C-8421-524F95D65458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19</xdr:row>
      <xdr:rowOff>196272</xdr:rowOff>
    </xdr:from>
    <xdr:to>
      <xdr:col>8</xdr:col>
      <xdr:colOff>2320636</xdr:colOff>
      <xdr:row>19</xdr:row>
      <xdr:rowOff>346363</xdr:rowOff>
    </xdr:to>
    <xdr:sp macro="" textlink="">
      <xdr:nvSpPr>
        <xdr:cNvPr id="397" name="Isosceles Triangle 396">
          <a:extLst>
            <a:ext uri="{FF2B5EF4-FFF2-40B4-BE49-F238E27FC236}">
              <a16:creationId xmlns:a16="http://schemas.microsoft.com/office/drawing/2014/main" id="{ABC3F990-A5D9-4907-83AA-A4D1F713411D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20</xdr:row>
      <xdr:rowOff>196272</xdr:rowOff>
    </xdr:from>
    <xdr:to>
      <xdr:col>8</xdr:col>
      <xdr:colOff>2320636</xdr:colOff>
      <xdr:row>20</xdr:row>
      <xdr:rowOff>346363</xdr:rowOff>
    </xdr:to>
    <xdr:sp macro="" textlink="">
      <xdr:nvSpPr>
        <xdr:cNvPr id="398" name="Isosceles Triangle 397">
          <a:extLst>
            <a:ext uri="{FF2B5EF4-FFF2-40B4-BE49-F238E27FC236}">
              <a16:creationId xmlns:a16="http://schemas.microsoft.com/office/drawing/2014/main" id="{A7BA5B81-6145-4A6A-8998-377A447CA8A7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20</xdr:row>
      <xdr:rowOff>196272</xdr:rowOff>
    </xdr:from>
    <xdr:to>
      <xdr:col>8</xdr:col>
      <xdr:colOff>2320636</xdr:colOff>
      <xdr:row>20</xdr:row>
      <xdr:rowOff>346363</xdr:rowOff>
    </xdr:to>
    <xdr:sp macro="" textlink="">
      <xdr:nvSpPr>
        <xdr:cNvPr id="399" name="Isosceles Triangle 398">
          <a:extLst>
            <a:ext uri="{FF2B5EF4-FFF2-40B4-BE49-F238E27FC236}">
              <a16:creationId xmlns:a16="http://schemas.microsoft.com/office/drawing/2014/main" id="{BB62BA60-E2CB-41BD-89A0-729DFC15560A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20</xdr:row>
      <xdr:rowOff>196272</xdr:rowOff>
    </xdr:from>
    <xdr:to>
      <xdr:col>8</xdr:col>
      <xdr:colOff>2320636</xdr:colOff>
      <xdr:row>20</xdr:row>
      <xdr:rowOff>346363</xdr:rowOff>
    </xdr:to>
    <xdr:sp macro="" textlink="">
      <xdr:nvSpPr>
        <xdr:cNvPr id="400" name="Isosceles Triangle 399">
          <a:extLst>
            <a:ext uri="{FF2B5EF4-FFF2-40B4-BE49-F238E27FC236}">
              <a16:creationId xmlns:a16="http://schemas.microsoft.com/office/drawing/2014/main" id="{C6CE1C91-3E86-409F-A81B-C13FB1620911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401" name="Isosceles Triangle 400">
          <a:extLst>
            <a:ext uri="{FF2B5EF4-FFF2-40B4-BE49-F238E27FC236}">
              <a16:creationId xmlns:a16="http://schemas.microsoft.com/office/drawing/2014/main" id="{4874934C-836B-41A0-B575-2C5FB6789671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402" name="Isosceles Triangle 401">
          <a:extLst>
            <a:ext uri="{FF2B5EF4-FFF2-40B4-BE49-F238E27FC236}">
              <a16:creationId xmlns:a16="http://schemas.microsoft.com/office/drawing/2014/main" id="{91E482F3-8203-4669-B64C-7553C6272119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403" name="Isosceles Triangle 402">
          <a:extLst>
            <a:ext uri="{FF2B5EF4-FFF2-40B4-BE49-F238E27FC236}">
              <a16:creationId xmlns:a16="http://schemas.microsoft.com/office/drawing/2014/main" id="{B241442C-5BAD-4346-BEEA-279ACFD3B947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404" name="Isosceles Triangle 403">
          <a:extLst>
            <a:ext uri="{FF2B5EF4-FFF2-40B4-BE49-F238E27FC236}">
              <a16:creationId xmlns:a16="http://schemas.microsoft.com/office/drawing/2014/main" id="{9964B8A1-E94C-4BD5-9DA4-BBB97757CDA4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405" name="Isosceles Triangle 404">
          <a:extLst>
            <a:ext uri="{FF2B5EF4-FFF2-40B4-BE49-F238E27FC236}">
              <a16:creationId xmlns:a16="http://schemas.microsoft.com/office/drawing/2014/main" id="{AF2697BD-4334-4B0A-8AB7-8FF779ABB60C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406" name="Isosceles Triangle 405">
          <a:extLst>
            <a:ext uri="{FF2B5EF4-FFF2-40B4-BE49-F238E27FC236}">
              <a16:creationId xmlns:a16="http://schemas.microsoft.com/office/drawing/2014/main" id="{C2A765C5-6CDF-45D8-BD1A-6E7083977FAE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23</xdr:row>
      <xdr:rowOff>196272</xdr:rowOff>
    </xdr:from>
    <xdr:to>
      <xdr:col>8</xdr:col>
      <xdr:colOff>2320636</xdr:colOff>
      <xdr:row>23</xdr:row>
      <xdr:rowOff>346363</xdr:rowOff>
    </xdr:to>
    <xdr:sp macro="" textlink="">
      <xdr:nvSpPr>
        <xdr:cNvPr id="407" name="Isosceles Triangle 406">
          <a:extLst>
            <a:ext uri="{FF2B5EF4-FFF2-40B4-BE49-F238E27FC236}">
              <a16:creationId xmlns:a16="http://schemas.microsoft.com/office/drawing/2014/main" id="{CBFA9A44-0AC6-44A4-84B2-97656A3F8C6C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23</xdr:row>
      <xdr:rowOff>196272</xdr:rowOff>
    </xdr:from>
    <xdr:to>
      <xdr:col>8</xdr:col>
      <xdr:colOff>2320636</xdr:colOff>
      <xdr:row>23</xdr:row>
      <xdr:rowOff>346363</xdr:rowOff>
    </xdr:to>
    <xdr:sp macro="" textlink="">
      <xdr:nvSpPr>
        <xdr:cNvPr id="408" name="Isosceles Triangle 407">
          <a:extLst>
            <a:ext uri="{FF2B5EF4-FFF2-40B4-BE49-F238E27FC236}">
              <a16:creationId xmlns:a16="http://schemas.microsoft.com/office/drawing/2014/main" id="{10161791-AB24-4A58-B87A-6E118363DE3F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23</xdr:row>
      <xdr:rowOff>196272</xdr:rowOff>
    </xdr:from>
    <xdr:to>
      <xdr:col>8</xdr:col>
      <xdr:colOff>2320636</xdr:colOff>
      <xdr:row>23</xdr:row>
      <xdr:rowOff>346363</xdr:rowOff>
    </xdr:to>
    <xdr:sp macro="" textlink="">
      <xdr:nvSpPr>
        <xdr:cNvPr id="409" name="Isosceles Triangle 408">
          <a:extLst>
            <a:ext uri="{FF2B5EF4-FFF2-40B4-BE49-F238E27FC236}">
              <a16:creationId xmlns:a16="http://schemas.microsoft.com/office/drawing/2014/main" id="{12AAC666-337E-490F-8199-FE31C7121BB1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19</xdr:row>
      <xdr:rowOff>196272</xdr:rowOff>
    </xdr:from>
    <xdr:to>
      <xdr:col>10</xdr:col>
      <xdr:colOff>2320636</xdr:colOff>
      <xdr:row>19</xdr:row>
      <xdr:rowOff>346363</xdr:rowOff>
    </xdr:to>
    <xdr:sp macro="" textlink="">
      <xdr:nvSpPr>
        <xdr:cNvPr id="410" name="Isosceles Triangle 409">
          <a:extLst>
            <a:ext uri="{FF2B5EF4-FFF2-40B4-BE49-F238E27FC236}">
              <a16:creationId xmlns:a16="http://schemas.microsoft.com/office/drawing/2014/main" id="{5331C601-0DE7-472E-8DE5-2EC3BF1A7739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19</xdr:row>
      <xdr:rowOff>196272</xdr:rowOff>
    </xdr:from>
    <xdr:to>
      <xdr:col>10</xdr:col>
      <xdr:colOff>2320636</xdr:colOff>
      <xdr:row>19</xdr:row>
      <xdr:rowOff>346363</xdr:rowOff>
    </xdr:to>
    <xdr:sp macro="" textlink="">
      <xdr:nvSpPr>
        <xdr:cNvPr id="411" name="Isosceles Triangle 410">
          <a:extLst>
            <a:ext uri="{FF2B5EF4-FFF2-40B4-BE49-F238E27FC236}">
              <a16:creationId xmlns:a16="http://schemas.microsoft.com/office/drawing/2014/main" id="{B8B31896-8CDD-459F-9C5E-83A47E51441B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19</xdr:row>
      <xdr:rowOff>196272</xdr:rowOff>
    </xdr:from>
    <xdr:to>
      <xdr:col>10</xdr:col>
      <xdr:colOff>2320636</xdr:colOff>
      <xdr:row>19</xdr:row>
      <xdr:rowOff>346363</xdr:rowOff>
    </xdr:to>
    <xdr:sp macro="" textlink="">
      <xdr:nvSpPr>
        <xdr:cNvPr id="412" name="Isosceles Triangle 411">
          <a:extLst>
            <a:ext uri="{FF2B5EF4-FFF2-40B4-BE49-F238E27FC236}">
              <a16:creationId xmlns:a16="http://schemas.microsoft.com/office/drawing/2014/main" id="{1BFD0237-168C-4BF1-8E31-ADBD45645B31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20</xdr:row>
      <xdr:rowOff>196272</xdr:rowOff>
    </xdr:from>
    <xdr:to>
      <xdr:col>10</xdr:col>
      <xdr:colOff>2320636</xdr:colOff>
      <xdr:row>20</xdr:row>
      <xdr:rowOff>346363</xdr:rowOff>
    </xdr:to>
    <xdr:sp macro="" textlink="">
      <xdr:nvSpPr>
        <xdr:cNvPr id="413" name="Isosceles Triangle 412">
          <a:extLst>
            <a:ext uri="{FF2B5EF4-FFF2-40B4-BE49-F238E27FC236}">
              <a16:creationId xmlns:a16="http://schemas.microsoft.com/office/drawing/2014/main" id="{AE822435-4D4A-4507-85C4-4496DFA04C52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20</xdr:row>
      <xdr:rowOff>196272</xdr:rowOff>
    </xdr:from>
    <xdr:to>
      <xdr:col>10</xdr:col>
      <xdr:colOff>2320636</xdr:colOff>
      <xdr:row>20</xdr:row>
      <xdr:rowOff>346363</xdr:rowOff>
    </xdr:to>
    <xdr:sp macro="" textlink="">
      <xdr:nvSpPr>
        <xdr:cNvPr id="414" name="Isosceles Triangle 413">
          <a:extLst>
            <a:ext uri="{FF2B5EF4-FFF2-40B4-BE49-F238E27FC236}">
              <a16:creationId xmlns:a16="http://schemas.microsoft.com/office/drawing/2014/main" id="{6C019FC2-0BF9-4AC0-907E-F49E5BCB56DF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20</xdr:row>
      <xdr:rowOff>196272</xdr:rowOff>
    </xdr:from>
    <xdr:to>
      <xdr:col>10</xdr:col>
      <xdr:colOff>2320636</xdr:colOff>
      <xdr:row>20</xdr:row>
      <xdr:rowOff>346363</xdr:rowOff>
    </xdr:to>
    <xdr:sp macro="" textlink="">
      <xdr:nvSpPr>
        <xdr:cNvPr id="415" name="Isosceles Triangle 414">
          <a:extLst>
            <a:ext uri="{FF2B5EF4-FFF2-40B4-BE49-F238E27FC236}">
              <a16:creationId xmlns:a16="http://schemas.microsoft.com/office/drawing/2014/main" id="{EC0B3D63-8627-4F50-B36F-6A61E1699309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416" name="Isosceles Triangle 415">
          <a:extLst>
            <a:ext uri="{FF2B5EF4-FFF2-40B4-BE49-F238E27FC236}">
              <a16:creationId xmlns:a16="http://schemas.microsoft.com/office/drawing/2014/main" id="{39BEA576-82B2-4072-AC86-FD6A9DE44ACB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417" name="Isosceles Triangle 416">
          <a:extLst>
            <a:ext uri="{FF2B5EF4-FFF2-40B4-BE49-F238E27FC236}">
              <a16:creationId xmlns:a16="http://schemas.microsoft.com/office/drawing/2014/main" id="{68068929-885B-4A83-8453-74C8CFC62AF3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418" name="Isosceles Triangle 417">
          <a:extLst>
            <a:ext uri="{FF2B5EF4-FFF2-40B4-BE49-F238E27FC236}">
              <a16:creationId xmlns:a16="http://schemas.microsoft.com/office/drawing/2014/main" id="{E2B1F7BF-8B76-4159-AB22-15851BA71F5F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419" name="Isosceles Triangle 418">
          <a:extLst>
            <a:ext uri="{FF2B5EF4-FFF2-40B4-BE49-F238E27FC236}">
              <a16:creationId xmlns:a16="http://schemas.microsoft.com/office/drawing/2014/main" id="{D1F55FE3-ED22-4F08-AC0A-1D409FE075A5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420" name="Isosceles Triangle 419">
          <a:extLst>
            <a:ext uri="{FF2B5EF4-FFF2-40B4-BE49-F238E27FC236}">
              <a16:creationId xmlns:a16="http://schemas.microsoft.com/office/drawing/2014/main" id="{DDD4B013-E2FA-4054-A4B1-A4854913D941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421" name="Isosceles Triangle 420">
          <a:extLst>
            <a:ext uri="{FF2B5EF4-FFF2-40B4-BE49-F238E27FC236}">
              <a16:creationId xmlns:a16="http://schemas.microsoft.com/office/drawing/2014/main" id="{03B5AE75-AD2A-425D-ADB0-C9FD2D27629F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23</xdr:row>
      <xdr:rowOff>196272</xdr:rowOff>
    </xdr:from>
    <xdr:to>
      <xdr:col>10</xdr:col>
      <xdr:colOff>2320636</xdr:colOff>
      <xdr:row>23</xdr:row>
      <xdr:rowOff>346363</xdr:rowOff>
    </xdr:to>
    <xdr:sp macro="" textlink="">
      <xdr:nvSpPr>
        <xdr:cNvPr id="422" name="Isosceles Triangle 421">
          <a:extLst>
            <a:ext uri="{FF2B5EF4-FFF2-40B4-BE49-F238E27FC236}">
              <a16:creationId xmlns:a16="http://schemas.microsoft.com/office/drawing/2014/main" id="{AFF2BA70-5A05-4E85-A758-0B2F8C13FF8D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23</xdr:row>
      <xdr:rowOff>196272</xdr:rowOff>
    </xdr:from>
    <xdr:to>
      <xdr:col>10</xdr:col>
      <xdr:colOff>2320636</xdr:colOff>
      <xdr:row>23</xdr:row>
      <xdr:rowOff>346363</xdr:rowOff>
    </xdr:to>
    <xdr:sp macro="" textlink="">
      <xdr:nvSpPr>
        <xdr:cNvPr id="423" name="Isosceles Triangle 422">
          <a:extLst>
            <a:ext uri="{FF2B5EF4-FFF2-40B4-BE49-F238E27FC236}">
              <a16:creationId xmlns:a16="http://schemas.microsoft.com/office/drawing/2014/main" id="{97A6AEBD-D5A2-4B7A-990B-770F754E641F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23</xdr:row>
      <xdr:rowOff>196272</xdr:rowOff>
    </xdr:from>
    <xdr:to>
      <xdr:col>10</xdr:col>
      <xdr:colOff>2320636</xdr:colOff>
      <xdr:row>23</xdr:row>
      <xdr:rowOff>346363</xdr:rowOff>
    </xdr:to>
    <xdr:sp macro="" textlink="">
      <xdr:nvSpPr>
        <xdr:cNvPr id="424" name="Isosceles Triangle 423">
          <a:extLst>
            <a:ext uri="{FF2B5EF4-FFF2-40B4-BE49-F238E27FC236}">
              <a16:creationId xmlns:a16="http://schemas.microsoft.com/office/drawing/2014/main" id="{35C0A326-EF45-414A-AFC7-418736218965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25</xdr:row>
      <xdr:rowOff>196272</xdr:rowOff>
    </xdr:from>
    <xdr:to>
      <xdr:col>10</xdr:col>
      <xdr:colOff>2320636</xdr:colOff>
      <xdr:row>25</xdr:row>
      <xdr:rowOff>346363</xdr:rowOff>
    </xdr:to>
    <xdr:sp macro="" textlink="">
      <xdr:nvSpPr>
        <xdr:cNvPr id="425" name="Isosceles Triangle 424">
          <a:extLst>
            <a:ext uri="{FF2B5EF4-FFF2-40B4-BE49-F238E27FC236}">
              <a16:creationId xmlns:a16="http://schemas.microsoft.com/office/drawing/2014/main" id="{41C1EA98-7B07-4CBA-B438-A6A1BE38D04B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25</xdr:row>
      <xdr:rowOff>196272</xdr:rowOff>
    </xdr:from>
    <xdr:to>
      <xdr:col>10</xdr:col>
      <xdr:colOff>2320636</xdr:colOff>
      <xdr:row>25</xdr:row>
      <xdr:rowOff>346363</xdr:rowOff>
    </xdr:to>
    <xdr:sp macro="" textlink="">
      <xdr:nvSpPr>
        <xdr:cNvPr id="426" name="Isosceles Triangle 425">
          <a:extLst>
            <a:ext uri="{FF2B5EF4-FFF2-40B4-BE49-F238E27FC236}">
              <a16:creationId xmlns:a16="http://schemas.microsoft.com/office/drawing/2014/main" id="{5EA3363E-8200-4ABA-9601-89A9D6B259A4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25</xdr:row>
      <xdr:rowOff>196272</xdr:rowOff>
    </xdr:from>
    <xdr:to>
      <xdr:col>10</xdr:col>
      <xdr:colOff>2320636</xdr:colOff>
      <xdr:row>25</xdr:row>
      <xdr:rowOff>346363</xdr:rowOff>
    </xdr:to>
    <xdr:sp macro="" textlink="">
      <xdr:nvSpPr>
        <xdr:cNvPr id="427" name="Isosceles Triangle 426">
          <a:extLst>
            <a:ext uri="{FF2B5EF4-FFF2-40B4-BE49-F238E27FC236}">
              <a16:creationId xmlns:a16="http://schemas.microsoft.com/office/drawing/2014/main" id="{3CCC1762-5845-4CC6-9EA6-31FE69DF5C7D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428" name="Isosceles Triangle 427">
          <a:extLst>
            <a:ext uri="{FF2B5EF4-FFF2-40B4-BE49-F238E27FC236}">
              <a16:creationId xmlns:a16="http://schemas.microsoft.com/office/drawing/2014/main" id="{75BE921B-B66E-40C7-B70F-8C45E5021751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429" name="Isosceles Triangle 428">
          <a:extLst>
            <a:ext uri="{FF2B5EF4-FFF2-40B4-BE49-F238E27FC236}">
              <a16:creationId xmlns:a16="http://schemas.microsoft.com/office/drawing/2014/main" id="{7DCB865D-A08C-4582-935C-BF4725F6D1DF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430" name="Isosceles Triangle 429">
          <a:extLst>
            <a:ext uri="{FF2B5EF4-FFF2-40B4-BE49-F238E27FC236}">
              <a16:creationId xmlns:a16="http://schemas.microsoft.com/office/drawing/2014/main" id="{1F9EB2A5-62A8-49E4-A32B-EBB7114E23E1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431" name="Isosceles Triangle 430">
          <a:extLst>
            <a:ext uri="{FF2B5EF4-FFF2-40B4-BE49-F238E27FC236}">
              <a16:creationId xmlns:a16="http://schemas.microsoft.com/office/drawing/2014/main" id="{CB5BE9D0-0FEC-416E-B054-040DD56281CF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432" name="Isosceles Triangle 431">
          <a:extLst>
            <a:ext uri="{FF2B5EF4-FFF2-40B4-BE49-F238E27FC236}">
              <a16:creationId xmlns:a16="http://schemas.microsoft.com/office/drawing/2014/main" id="{A1F1226B-DF7C-4994-91C6-233B824665BF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433" name="Isosceles Triangle 432">
          <a:extLst>
            <a:ext uri="{FF2B5EF4-FFF2-40B4-BE49-F238E27FC236}">
              <a16:creationId xmlns:a16="http://schemas.microsoft.com/office/drawing/2014/main" id="{5C4EA31F-B848-445C-9DFB-1C831F66DD10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434" name="Isosceles Triangle 433">
          <a:extLst>
            <a:ext uri="{FF2B5EF4-FFF2-40B4-BE49-F238E27FC236}">
              <a16:creationId xmlns:a16="http://schemas.microsoft.com/office/drawing/2014/main" id="{D83D1D6D-7EED-4F46-A197-E29078EF77DF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435" name="Isosceles Triangle 434">
          <a:extLst>
            <a:ext uri="{FF2B5EF4-FFF2-40B4-BE49-F238E27FC236}">
              <a16:creationId xmlns:a16="http://schemas.microsoft.com/office/drawing/2014/main" id="{942349D0-C8BB-4D1F-81F6-3541C742CC38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436" name="Isosceles Triangle 435">
          <a:extLst>
            <a:ext uri="{FF2B5EF4-FFF2-40B4-BE49-F238E27FC236}">
              <a16:creationId xmlns:a16="http://schemas.microsoft.com/office/drawing/2014/main" id="{AB0C22AB-155D-47F4-B58B-1D6B488FFCB2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29</xdr:row>
      <xdr:rowOff>196272</xdr:rowOff>
    </xdr:from>
    <xdr:to>
      <xdr:col>10</xdr:col>
      <xdr:colOff>2320636</xdr:colOff>
      <xdr:row>29</xdr:row>
      <xdr:rowOff>346363</xdr:rowOff>
    </xdr:to>
    <xdr:sp macro="" textlink="">
      <xdr:nvSpPr>
        <xdr:cNvPr id="437" name="Isosceles Triangle 436">
          <a:extLst>
            <a:ext uri="{FF2B5EF4-FFF2-40B4-BE49-F238E27FC236}">
              <a16:creationId xmlns:a16="http://schemas.microsoft.com/office/drawing/2014/main" id="{F60E62AB-22D7-42F6-B48D-143D7D82B6B9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29</xdr:row>
      <xdr:rowOff>196272</xdr:rowOff>
    </xdr:from>
    <xdr:to>
      <xdr:col>10</xdr:col>
      <xdr:colOff>2320636</xdr:colOff>
      <xdr:row>29</xdr:row>
      <xdr:rowOff>346363</xdr:rowOff>
    </xdr:to>
    <xdr:sp macro="" textlink="">
      <xdr:nvSpPr>
        <xdr:cNvPr id="438" name="Isosceles Triangle 437">
          <a:extLst>
            <a:ext uri="{FF2B5EF4-FFF2-40B4-BE49-F238E27FC236}">
              <a16:creationId xmlns:a16="http://schemas.microsoft.com/office/drawing/2014/main" id="{6E7E45B8-1DF8-43AB-AF8D-89F357C65DB1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29</xdr:row>
      <xdr:rowOff>196272</xdr:rowOff>
    </xdr:from>
    <xdr:to>
      <xdr:col>10</xdr:col>
      <xdr:colOff>2320636</xdr:colOff>
      <xdr:row>29</xdr:row>
      <xdr:rowOff>346363</xdr:rowOff>
    </xdr:to>
    <xdr:sp macro="" textlink="">
      <xdr:nvSpPr>
        <xdr:cNvPr id="439" name="Isosceles Triangle 438">
          <a:extLst>
            <a:ext uri="{FF2B5EF4-FFF2-40B4-BE49-F238E27FC236}">
              <a16:creationId xmlns:a16="http://schemas.microsoft.com/office/drawing/2014/main" id="{A575E146-F155-4566-A7C6-2171D05C8F72}"/>
            </a:ext>
          </a:extLst>
        </xdr:cNvPr>
        <xdr:cNvSpPr/>
      </xdr:nvSpPr>
      <xdr:spPr>
        <a:xfrm rot="10800000">
          <a:off x="10621817" y="470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140</xdr:row>
      <xdr:rowOff>196272</xdr:rowOff>
    </xdr:from>
    <xdr:to>
      <xdr:col>8</xdr:col>
      <xdr:colOff>2320636</xdr:colOff>
      <xdr:row>140</xdr:row>
      <xdr:rowOff>346363</xdr:rowOff>
    </xdr:to>
    <xdr:sp macro="" textlink="">
      <xdr:nvSpPr>
        <xdr:cNvPr id="471" name="Isosceles Triangle 470">
          <a:extLst>
            <a:ext uri="{FF2B5EF4-FFF2-40B4-BE49-F238E27FC236}">
              <a16:creationId xmlns:a16="http://schemas.microsoft.com/office/drawing/2014/main" id="{35144434-32A7-4BB4-B466-B3887F1F9470}"/>
            </a:ext>
          </a:extLst>
        </xdr:cNvPr>
        <xdr:cNvSpPr/>
      </xdr:nvSpPr>
      <xdr:spPr>
        <a:xfrm rot="10800000">
          <a:off x="10621817" y="7842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141</xdr:row>
      <xdr:rowOff>196272</xdr:rowOff>
    </xdr:from>
    <xdr:to>
      <xdr:col>8</xdr:col>
      <xdr:colOff>2320636</xdr:colOff>
      <xdr:row>141</xdr:row>
      <xdr:rowOff>346363</xdr:rowOff>
    </xdr:to>
    <xdr:sp macro="" textlink="">
      <xdr:nvSpPr>
        <xdr:cNvPr id="472" name="Isosceles Triangle 471">
          <a:extLst>
            <a:ext uri="{FF2B5EF4-FFF2-40B4-BE49-F238E27FC236}">
              <a16:creationId xmlns:a16="http://schemas.microsoft.com/office/drawing/2014/main" id="{AF9B484C-AF3B-4492-B63D-901BF17B3F22}"/>
            </a:ext>
          </a:extLst>
        </xdr:cNvPr>
        <xdr:cNvSpPr/>
      </xdr:nvSpPr>
      <xdr:spPr>
        <a:xfrm rot="10800000">
          <a:off x="10621817" y="7842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56</xdr:row>
      <xdr:rowOff>196272</xdr:rowOff>
    </xdr:from>
    <xdr:to>
      <xdr:col>8</xdr:col>
      <xdr:colOff>2320636</xdr:colOff>
      <xdr:row>56</xdr:row>
      <xdr:rowOff>346363</xdr:rowOff>
    </xdr:to>
    <xdr:sp macro="" textlink="">
      <xdr:nvSpPr>
        <xdr:cNvPr id="473" name="Isosceles Triangle 472">
          <a:extLst>
            <a:ext uri="{FF2B5EF4-FFF2-40B4-BE49-F238E27FC236}">
              <a16:creationId xmlns:a16="http://schemas.microsoft.com/office/drawing/2014/main" id="{077F188F-36F2-43D8-A55D-446F0618D384}"/>
            </a:ext>
          </a:extLst>
        </xdr:cNvPr>
        <xdr:cNvSpPr/>
      </xdr:nvSpPr>
      <xdr:spPr>
        <a:xfrm rot="10800000">
          <a:off x="106218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57</xdr:row>
      <xdr:rowOff>196272</xdr:rowOff>
    </xdr:from>
    <xdr:to>
      <xdr:col>8</xdr:col>
      <xdr:colOff>2320636</xdr:colOff>
      <xdr:row>57</xdr:row>
      <xdr:rowOff>346363</xdr:rowOff>
    </xdr:to>
    <xdr:sp macro="" textlink="">
      <xdr:nvSpPr>
        <xdr:cNvPr id="474" name="Isosceles Triangle 473">
          <a:extLst>
            <a:ext uri="{FF2B5EF4-FFF2-40B4-BE49-F238E27FC236}">
              <a16:creationId xmlns:a16="http://schemas.microsoft.com/office/drawing/2014/main" id="{6538517B-0637-4B62-B8CA-8ECE7E51E3AA}"/>
            </a:ext>
          </a:extLst>
        </xdr:cNvPr>
        <xdr:cNvSpPr/>
      </xdr:nvSpPr>
      <xdr:spPr>
        <a:xfrm rot="10800000">
          <a:off x="106218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73</xdr:row>
      <xdr:rowOff>196272</xdr:rowOff>
    </xdr:from>
    <xdr:to>
      <xdr:col>8</xdr:col>
      <xdr:colOff>2320636</xdr:colOff>
      <xdr:row>73</xdr:row>
      <xdr:rowOff>346363</xdr:rowOff>
    </xdr:to>
    <xdr:sp macro="" textlink="">
      <xdr:nvSpPr>
        <xdr:cNvPr id="475" name="Isosceles Triangle 474">
          <a:extLst>
            <a:ext uri="{FF2B5EF4-FFF2-40B4-BE49-F238E27FC236}">
              <a16:creationId xmlns:a16="http://schemas.microsoft.com/office/drawing/2014/main" id="{7D74F1D9-7648-4CB2-8657-B57BDDA83C13}"/>
            </a:ext>
          </a:extLst>
        </xdr:cNvPr>
        <xdr:cNvSpPr/>
      </xdr:nvSpPr>
      <xdr:spPr>
        <a:xfrm rot="10800000">
          <a:off x="10621817" y="4185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74</xdr:row>
      <xdr:rowOff>196272</xdr:rowOff>
    </xdr:from>
    <xdr:to>
      <xdr:col>8</xdr:col>
      <xdr:colOff>2320636</xdr:colOff>
      <xdr:row>74</xdr:row>
      <xdr:rowOff>346363</xdr:rowOff>
    </xdr:to>
    <xdr:sp macro="" textlink="">
      <xdr:nvSpPr>
        <xdr:cNvPr id="476" name="Isosceles Triangle 475">
          <a:extLst>
            <a:ext uri="{FF2B5EF4-FFF2-40B4-BE49-F238E27FC236}">
              <a16:creationId xmlns:a16="http://schemas.microsoft.com/office/drawing/2014/main" id="{2DF10CD8-D6C0-4742-A24C-D40FB839D2AA}"/>
            </a:ext>
          </a:extLst>
        </xdr:cNvPr>
        <xdr:cNvSpPr/>
      </xdr:nvSpPr>
      <xdr:spPr>
        <a:xfrm rot="10800000">
          <a:off x="10621817" y="4185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73</xdr:row>
      <xdr:rowOff>196272</xdr:rowOff>
    </xdr:from>
    <xdr:to>
      <xdr:col>10</xdr:col>
      <xdr:colOff>2320636</xdr:colOff>
      <xdr:row>73</xdr:row>
      <xdr:rowOff>346363</xdr:rowOff>
    </xdr:to>
    <xdr:sp macro="" textlink="">
      <xdr:nvSpPr>
        <xdr:cNvPr id="477" name="Isosceles Triangle 476">
          <a:extLst>
            <a:ext uri="{FF2B5EF4-FFF2-40B4-BE49-F238E27FC236}">
              <a16:creationId xmlns:a16="http://schemas.microsoft.com/office/drawing/2014/main" id="{20AD01D6-0F15-4D8F-B947-789EFF40B536}"/>
            </a:ext>
          </a:extLst>
        </xdr:cNvPr>
        <xdr:cNvSpPr/>
      </xdr:nvSpPr>
      <xdr:spPr>
        <a:xfrm rot="10800000">
          <a:off x="14088917" y="4185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74</xdr:row>
      <xdr:rowOff>196272</xdr:rowOff>
    </xdr:from>
    <xdr:to>
      <xdr:col>10</xdr:col>
      <xdr:colOff>2320636</xdr:colOff>
      <xdr:row>74</xdr:row>
      <xdr:rowOff>346363</xdr:rowOff>
    </xdr:to>
    <xdr:sp macro="" textlink="">
      <xdr:nvSpPr>
        <xdr:cNvPr id="478" name="Isosceles Triangle 477">
          <a:extLst>
            <a:ext uri="{FF2B5EF4-FFF2-40B4-BE49-F238E27FC236}">
              <a16:creationId xmlns:a16="http://schemas.microsoft.com/office/drawing/2014/main" id="{C8824960-7DA4-4EB3-AADA-0E0D41F5EF57}"/>
            </a:ext>
          </a:extLst>
        </xdr:cNvPr>
        <xdr:cNvSpPr/>
      </xdr:nvSpPr>
      <xdr:spPr>
        <a:xfrm rot="10800000">
          <a:off x="14088917" y="4185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479" name="Isosceles Triangle 478">
          <a:extLst>
            <a:ext uri="{FF2B5EF4-FFF2-40B4-BE49-F238E27FC236}">
              <a16:creationId xmlns:a16="http://schemas.microsoft.com/office/drawing/2014/main" id="{F1DA8BEE-3639-4877-BD92-4B6C146A0F65}"/>
            </a:ext>
          </a:extLst>
        </xdr:cNvPr>
        <xdr:cNvSpPr/>
      </xdr:nvSpPr>
      <xdr:spPr>
        <a:xfrm rot="10800000">
          <a:off x="10621817" y="984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480" name="Isosceles Triangle 479">
          <a:extLst>
            <a:ext uri="{FF2B5EF4-FFF2-40B4-BE49-F238E27FC236}">
              <a16:creationId xmlns:a16="http://schemas.microsoft.com/office/drawing/2014/main" id="{687BE565-B063-4118-9C14-26C3EA755302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481" name="Isosceles Triangle 480">
          <a:extLst>
            <a:ext uri="{FF2B5EF4-FFF2-40B4-BE49-F238E27FC236}">
              <a16:creationId xmlns:a16="http://schemas.microsoft.com/office/drawing/2014/main" id="{D4096B4A-EE5E-4384-9FE5-246B2829E35D}"/>
            </a:ext>
          </a:extLst>
        </xdr:cNvPr>
        <xdr:cNvSpPr/>
      </xdr:nvSpPr>
      <xdr:spPr>
        <a:xfrm rot="10800000">
          <a:off x="10621817" y="984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482" name="Isosceles Triangle 481">
          <a:extLst>
            <a:ext uri="{FF2B5EF4-FFF2-40B4-BE49-F238E27FC236}">
              <a16:creationId xmlns:a16="http://schemas.microsoft.com/office/drawing/2014/main" id="{CAF1EB8D-C358-4D96-89B9-FF29E241808D}"/>
            </a:ext>
          </a:extLst>
        </xdr:cNvPr>
        <xdr:cNvSpPr/>
      </xdr:nvSpPr>
      <xdr:spPr>
        <a:xfrm rot="10800000">
          <a:off x="10621817" y="984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483" name="Isosceles Triangle 482">
          <a:extLst>
            <a:ext uri="{FF2B5EF4-FFF2-40B4-BE49-F238E27FC236}">
              <a16:creationId xmlns:a16="http://schemas.microsoft.com/office/drawing/2014/main" id="{2B616157-D007-4681-876D-72D14935DD16}"/>
            </a:ext>
          </a:extLst>
        </xdr:cNvPr>
        <xdr:cNvSpPr/>
      </xdr:nvSpPr>
      <xdr:spPr>
        <a:xfrm rot="10800000">
          <a:off x="10621817" y="984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484" name="Isosceles Triangle 483">
          <a:extLst>
            <a:ext uri="{FF2B5EF4-FFF2-40B4-BE49-F238E27FC236}">
              <a16:creationId xmlns:a16="http://schemas.microsoft.com/office/drawing/2014/main" id="{C8198771-852B-4628-B4A9-37F1DF36813D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485" name="Isosceles Triangle 484">
          <a:extLst>
            <a:ext uri="{FF2B5EF4-FFF2-40B4-BE49-F238E27FC236}">
              <a16:creationId xmlns:a16="http://schemas.microsoft.com/office/drawing/2014/main" id="{8EE2FF0B-5C31-40B7-9AC3-83363105AAF6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486" name="Isosceles Triangle 485">
          <a:extLst>
            <a:ext uri="{FF2B5EF4-FFF2-40B4-BE49-F238E27FC236}">
              <a16:creationId xmlns:a16="http://schemas.microsoft.com/office/drawing/2014/main" id="{08051238-7400-436B-9D82-C39759D37C82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25</xdr:row>
      <xdr:rowOff>196272</xdr:rowOff>
    </xdr:from>
    <xdr:to>
      <xdr:col>8</xdr:col>
      <xdr:colOff>2320636</xdr:colOff>
      <xdr:row>25</xdr:row>
      <xdr:rowOff>346363</xdr:rowOff>
    </xdr:to>
    <xdr:sp macro="" textlink="">
      <xdr:nvSpPr>
        <xdr:cNvPr id="487" name="Isosceles Triangle 486">
          <a:extLst>
            <a:ext uri="{FF2B5EF4-FFF2-40B4-BE49-F238E27FC236}">
              <a16:creationId xmlns:a16="http://schemas.microsoft.com/office/drawing/2014/main" id="{7D558D87-DBC9-4978-A6D6-1DE8665F6766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488" name="Isosceles Triangle 487">
          <a:extLst>
            <a:ext uri="{FF2B5EF4-FFF2-40B4-BE49-F238E27FC236}">
              <a16:creationId xmlns:a16="http://schemas.microsoft.com/office/drawing/2014/main" id="{6AC724E2-4883-4351-932A-7C2598BA4C12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27</xdr:row>
      <xdr:rowOff>196272</xdr:rowOff>
    </xdr:from>
    <xdr:to>
      <xdr:col>8</xdr:col>
      <xdr:colOff>2320636</xdr:colOff>
      <xdr:row>27</xdr:row>
      <xdr:rowOff>346363</xdr:rowOff>
    </xdr:to>
    <xdr:sp macro="" textlink="">
      <xdr:nvSpPr>
        <xdr:cNvPr id="489" name="Isosceles Triangle 488">
          <a:extLst>
            <a:ext uri="{FF2B5EF4-FFF2-40B4-BE49-F238E27FC236}">
              <a16:creationId xmlns:a16="http://schemas.microsoft.com/office/drawing/2014/main" id="{AA35A18E-A88F-4AA5-9536-FEAD658C1072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31</xdr:row>
      <xdr:rowOff>196272</xdr:rowOff>
    </xdr:from>
    <xdr:to>
      <xdr:col>8</xdr:col>
      <xdr:colOff>2320636</xdr:colOff>
      <xdr:row>31</xdr:row>
      <xdr:rowOff>346363</xdr:rowOff>
    </xdr:to>
    <xdr:sp macro="" textlink="">
      <xdr:nvSpPr>
        <xdr:cNvPr id="490" name="Isosceles Triangle 489">
          <a:extLst>
            <a:ext uri="{FF2B5EF4-FFF2-40B4-BE49-F238E27FC236}">
              <a16:creationId xmlns:a16="http://schemas.microsoft.com/office/drawing/2014/main" id="{58B1611D-F5E1-446C-8EB2-4278DD649D6E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32</xdr:row>
      <xdr:rowOff>196272</xdr:rowOff>
    </xdr:from>
    <xdr:to>
      <xdr:col>8</xdr:col>
      <xdr:colOff>2320636</xdr:colOff>
      <xdr:row>32</xdr:row>
      <xdr:rowOff>346363</xdr:rowOff>
    </xdr:to>
    <xdr:sp macro="" textlink="">
      <xdr:nvSpPr>
        <xdr:cNvPr id="491" name="Isosceles Triangle 490">
          <a:extLst>
            <a:ext uri="{FF2B5EF4-FFF2-40B4-BE49-F238E27FC236}">
              <a16:creationId xmlns:a16="http://schemas.microsoft.com/office/drawing/2014/main" id="{0DC3A487-2ACA-47F7-93CA-272B8FB957A1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33</xdr:row>
      <xdr:rowOff>196272</xdr:rowOff>
    </xdr:from>
    <xdr:to>
      <xdr:col>8</xdr:col>
      <xdr:colOff>2320636</xdr:colOff>
      <xdr:row>33</xdr:row>
      <xdr:rowOff>346363</xdr:rowOff>
    </xdr:to>
    <xdr:sp macro="" textlink="">
      <xdr:nvSpPr>
        <xdr:cNvPr id="492" name="Isosceles Triangle 491">
          <a:extLst>
            <a:ext uri="{FF2B5EF4-FFF2-40B4-BE49-F238E27FC236}">
              <a16:creationId xmlns:a16="http://schemas.microsoft.com/office/drawing/2014/main" id="{0A727398-E044-4E33-963B-4E5F040F3024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34</xdr:row>
      <xdr:rowOff>196272</xdr:rowOff>
    </xdr:from>
    <xdr:to>
      <xdr:col>8</xdr:col>
      <xdr:colOff>2320636</xdr:colOff>
      <xdr:row>34</xdr:row>
      <xdr:rowOff>346363</xdr:rowOff>
    </xdr:to>
    <xdr:sp macro="" textlink="">
      <xdr:nvSpPr>
        <xdr:cNvPr id="493" name="Isosceles Triangle 492">
          <a:extLst>
            <a:ext uri="{FF2B5EF4-FFF2-40B4-BE49-F238E27FC236}">
              <a16:creationId xmlns:a16="http://schemas.microsoft.com/office/drawing/2014/main" id="{ECD45258-5187-4B54-8F36-4DA6682E1850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37</xdr:row>
      <xdr:rowOff>196272</xdr:rowOff>
    </xdr:from>
    <xdr:to>
      <xdr:col>8</xdr:col>
      <xdr:colOff>2320636</xdr:colOff>
      <xdr:row>37</xdr:row>
      <xdr:rowOff>346363</xdr:rowOff>
    </xdr:to>
    <xdr:sp macro="" textlink="">
      <xdr:nvSpPr>
        <xdr:cNvPr id="494" name="Isosceles Triangle 493">
          <a:extLst>
            <a:ext uri="{FF2B5EF4-FFF2-40B4-BE49-F238E27FC236}">
              <a16:creationId xmlns:a16="http://schemas.microsoft.com/office/drawing/2014/main" id="{A5C91F97-3C88-4444-A3C4-922D7F3FA46B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495" name="Isosceles Triangle 494">
          <a:extLst>
            <a:ext uri="{FF2B5EF4-FFF2-40B4-BE49-F238E27FC236}">
              <a16:creationId xmlns:a16="http://schemas.microsoft.com/office/drawing/2014/main" id="{8B5AF58A-3D2D-4F23-964E-6EF2D440B4C6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496" name="Isosceles Triangle 495">
          <a:extLst>
            <a:ext uri="{FF2B5EF4-FFF2-40B4-BE49-F238E27FC236}">
              <a16:creationId xmlns:a16="http://schemas.microsoft.com/office/drawing/2014/main" id="{90FA17C9-405C-4C31-8750-8DB81A190EC1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497" name="Isosceles Triangle 496">
          <a:extLst>
            <a:ext uri="{FF2B5EF4-FFF2-40B4-BE49-F238E27FC236}">
              <a16:creationId xmlns:a16="http://schemas.microsoft.com/office/drawing/2014/main" id="{F0DA1718-4446-43D8-B01D-9AC6AD4B9895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49</xdr:row>
      <xdr:rowOff>196272</xdr:rowOff>
    </xdr:from>
    <xdr:to>
      <xdr:col>8</xdr:col>
      <xdr:colOff>2320636</xdr:colOff>
      <xdr:row>49</xdr:row>
      <xdr:rowOff>346363</xdr:rowOff>
    </xdr:to>
    <xdr:sp macro="" textlink="">
      <xdr:nvSpPr>
        <xdr:cNvPr id="498" name="Isosceles Triangle 497">
          <a:extLst>
            <a:ext uri="{FF2B5EF4-FFF2-40B4-BE49-F238E27FC236}">
              <a16:creationId xmlns:a16="http://schemas.microsoft.com/office/drawing/2014/main" id="{66846F12-4E3A-401F-8104-661913D03F8E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50</xdr:row>
      <xdr:rowOff>196272</xdr:rowOff>
    </xdr:from>
    <xdr:to>
      <xdr:col>8</xdr:col>
      <xdr:colOff>2320636</xdr:colOff>
      <xdr:row>50</xdr:row>
      <xdr:rowOff>346363</xdr:rowOff>
    </xdr:to>
    <xdr:sp macro="" textlink="">
      <xdr:nvSpPr>
        <xdr:cNvPr id="499" name="Isosceles Triangle 498">
          <a:extLst>
            <a:ext uri="{FF2B5EF4-FFF2-40B4-BE49-F238E27FC236}">
              <a16:creationId xmlns:a16="http://schemas.microsoft.com/office/drawing/2014/main" id="{6D890513-A8EC-4545-90FF-8ECD1F539C4F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51</xdr:row>
      <xdr:rowOff>196272</xdr:rowOff>
    </xdr:from>
    <xdr:to>
      <xdr:col>8</xdr:col>
      <xdr:colOff>2320636</xdr:colOff>
      <xdr:row>51</xdr:row>
      <xdr:rowOff>346363</xdr:rowOff>
    </xdr:to>
    <xdr:sp macro="" textlink="">
      <xdr:nvSpPr>
        <xdr:cNvPr id="500" name="Isosceles Triangle 499">
          <a:extLst>
            <a:ext uri="{FF2B5EF4-FFF2-40B4-BE49-F238E27FC236}">
              <a16:creationId xmlns:a16="http://schemas.microsoft.com/office/drawing/2014/main" id="{66036D40-8614-4A16-87DA-14DC291BC40E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52</xdr:row>
      <xdr:rowOff>196272</xdr:rowOff>
    </xdr:from>
    <xdr:to>
      <xdr:col>8</xdr:col>
      <xdr:colOff>2320636</xdr:colOff>
      <xdr:row>52</xdr:row>
      <xdr:rowOff>346363</xdr:rowOff>
    </xdr:to>
    <xdr:sp macro="" textlink="">
      <xdr:nvSpPr>
        <xdr:cNvPr id="501" name="Isosceles Triangle 500">
          <a:extLst>
            <a:ext uri="{FF2B5EF4-FFF2-40B4-BE49-F238E27FC236}">
              <a16:creationId xmlns:a16="http://schemas.microsoft.com/office/drawing/2014/main" id="{444F34B9-F5E6-410F-AC1D-F305BE80A5D6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55</xdr:row>
      <xdr:rowOff>196272</xdr:rowOff>
    </xdr:from>
    <xdr:to>
      <xdr:col>8</xdr:col>
      <xdr:colOff>2320636</xdr:colOff>
      <xdr:row>55</xdr:row>
      <xdr:rowOff>346363</xdr:rowOff>
    </xdr:to>
    <xdr:sp macro="" textlink="">
      <xdr:nvSpPr>
        <xdr:cNvPr id="502" name="Isosceles Triangle 501">
          <a:extLst>
            <a:ext uri="{FF2B5EF4-FFF2-40B4-BE49-F238E27FC236}">
              <a16:creationId xmlns:a16="http://schemas.microsoft.com/office/drawing/2014/main" id="{FD6AC995-A82A-4F3B-AA0D-48CC2B34ADDB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56</xdr:row>
      <xdr:rowOff>196272</xdr:rowOff>
    </xdr:from>
    <xdr:to>
      <xdr:col>8</xdr:col>
      <xdr:colOff>2320636</xdr:colOff>
      <xdr:row>56</xdr:row>
      <xdr:rowOff>346363</xdr:rowOff>
    </xdr:to>
    <xdr:sp macro="" textlink="">
      <xdr:nvSpPr>
        <xdr:cNvPr id="503" name="Isosceles Triangle 502">
          <a:extLst>
            <a:ext uri="{FF2B5EF4-FFF2-40B4-BE49-F238E27FC236}">
              <a16:creationId xmlns:a16="http://schemas.microsoft.com/office/drawing/2014/main" id="{D63B098A-0FFD-458E-86F6-50ED8CAC2CA7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57</xdr:row>
      <xdr:rowOff>196272</xdr:rowOff>
    </xdr:from>
    <xdr:to>
      <xdr:col>8</xdr:col>
      <xdr:colOff>2320636</xdr:colOff>
      <xdr:row>57</xdr:row>
      <xdr:rowOff>346363</xdr:rowOff>
    </xdr:to>
    <xdr:sp macro="" textlink="">
      <xdr:nvSpPr>
        <xdr:cNvPr id="504" name="Isosceles Triangle 503">
          <a:extLst>
            <a:ext uri="{FF2B5EF4-FFF2-40B4-BE49-F238E27FC236}">
              <a16:creationId xmlns:a16="http://schemas.microsoft.com/office/drawing/2014/main" id="{2693944A-179F-4DDE-8F23-11FDBD799FB1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58</xdr:row>
      <xdr:rowOff>196272</xdr:rowOff>
    </xdr:from>
    <xdr:to>
      <xdr:col>8</xdr:col>
      <xdr:colOff>2320636</xdr:colOff>
      <xdr:row>58</xdr:row>
      <xdr:rowOff>346363</xdr:rowOff>
    </xdr:to>
    <xdr:sp macro="" textlink="">
      <xdr:nvSpPr>
        <xdr:cNvPr id="505" name="Isosceles Triangle 504">
          <a:extLst>
            <a:ext uri="{FF2B5EF4-FFF2-40B4-BE49-F238E27FC236}">
              <a16:creationId xmlns:a16="http://schemas.microsoft.com/office/drawing/2014/main" id="{8BA01ED7-FD5E-42C6-A7AC-B05684D76500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61</xdr:row>
      <xdr:rowOff>196272</xdr:rowOff>
    </xdr:from>
    <xdr:to>
      <xdr:col>8</xdr:col>
      <xdr:colOff>2320636</xdr:colOff>
      <xdr:row>61</xdr:row>
      <xdr:rowOff>346363</xdr:rowOff>
    </xdr:to>
    <xdr:sp macro="" textlink="">
      <xdr:nvSpPr>
        <xdr:cNvPr id="506" name="Isosceles Triangle 505">
          <a:extLst>
            <a:ext uri="{FF2B5EF4-FFF2-40B4-BE49-F238E27FC236}">
              <a16:creationId xmlns:a16="http://schemas.microsoft.com/office/drawing/2014/main" id="{862525F4-AAEC-44CE-9EF0-C3DF674CF87E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62</xdr:row>
      <xdr:rowOff>196272</xdr:rowOff>
    </xdr:from>
    <xdr:to>
      <xdr:col>8</xdr:col>
      <xdr:colOff>2320636</xdr:colOff>
      <xdr:row>62</xdr:row>
      <xdr:rowOff>346363</xdr:rowOff>
    </xdr:to>
    <xdr:sp macro="" textlink="">
      <xdr:nvSpPr>
        <xdr:cNvPr id="507" name="Isosceles Triangle 506">
          <a:extLst>
            <a:ext uri="{FF2B5EF4-FFF2-40B4-BE49-F238E27FC236}">
              <a16:creationId xmlns:a16="http://schemas.microsoft.com/office/drawing/2014/main" id="{5CBF695B-4C7A-49DD-9D04-B7C205DFD0CC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63</xdr:row>
      <xdr:rowOff>196272</xdr:rowOff>
    </xdr:from>
    <xdr:to>
      <xdr:col>8</xdr:col>
      <xdr:colOff>2320636</xdr:colOff>
      <xdr:row>63</xdr:row>
      <xdr:rowOff>346363</xdr:rowOff>
    </xdr:to>
    <xdr:sp macro="" textlink="">
      <xdr:nvSpPr>
        <xdr:cNvPr id="508" name="Isosceles Triangle 507">
          <a:extLst>
            <a:ext uri="{FF2B5EF4-FFF2-40B4-BE49-F238E27FC236}">
              <a16:creationId xmlns:a16="http://schemas.microsoft.com/office/drawing/2014/main" id="{DC0EC321-1DC3-4B02-AA22-DDB4727307AC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64</xdr:row>
      <xdr:rowOff>196272</xdr:rowOff>
    </xdr:from>
    <xdr:to>
      <xdr:col>8</xdr:col>
      <xdr:colOff>2320636</xdr:colOff>
      <xdr:row>64</xdr:row>
      <xdr:rowOff>346363</xdr:rowOff>
    </xdr:to>
    <xdr:sp macro="" textlink="">
      <xdr:nvSpPr>
        <xdr:cNvPr id="509" name="Isosceles Triangle 508">
          <a:extLst>
            <a:ext uri="{FF2B5EF4-FFF2-40B4-BE49-F238E27FC236}">
              <a16:creationId xmlns:a16="http://schemas.microsoft.com/office/drawing/2014/main" id="{97050149-BAA3-43FC-AAD5-E332EE4F8125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67</xdr:row>
      <xdr:rowOff>196272</xdr:rowOff>
    </xdr:from>
    <xdr:to>
      <xdr:col>8</xdr:col>
      <xdr:colOff>2320636</xdr:colOff>
      <xdr:row>67</xdr:row>
      <xdr:rowOff>346363</xdr:rowOff>
    </xdr:to>
    <xdr:sp macro="" textlink="">
      <xdr:nvSpPr>
        <xdr:cNvPr id="510" name="Isosceles Triangle 509">
          <a:extLst>
            <a:ext uri="{FF2B5EF4-FFF2-40B4-BE49-F238E27FC236}">
              <a16:creationId xmlns:a16="http://schemas.microsoft.com/office/drawing/2014/main" id="{A4528F84-43FB-4604-A56E-FD63F054DEB6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68</xdr:row>
      <xdr:rowOff>196272</xdr:rowOff>
    </xdr:from>
    <xdr:to>
      <xdr:col>8</xdr:col>
      <xdr:colOff>2320636</xdr:colOff>
      <xdr:row>68</xdr:row>
      <xdr:rowOff>346363</xdr:rowOff>
    </xdr:to>
    <xdr:sp macro="" textlink="">
      <xdr:nvSpPr>
        <xdr:cNvPr id="511" name="Isosceles Triangle 510">
          <a:extLst>
            <a:ext uri="{FF2B5EF4-FFF2-40B4-BE49-F238E27FC236}">
              <a16:creationId xmlns:a16="http://schemas.microsoft.com/office/drawing/2014/main" id="{C8F5087E-7CDB-48A3-A43C-14B14005BD4C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69</xdr:row>
      <xdr:rowOff>196272</xdr:rowOff>
    </xdr:from>
    <xdr:to>
      <xdr:col>8</xdr:col>
      <xdr:colOff>2320636</xdr:colOff>
      <xdr:row>69</xdr:row>
      <xdr:rowOff>346363</xdr:rowOff>
    </xdr:to>
    <xdr:sp macro="" textlink="">
      <xdr:nvSpPr>
        <xdr:cNvPr id="512" name="Isosceles Triangle 511">
          <a:extLst>
            <a:ext uri="{FF2B5EF4-FFF2-40B4-BE49-F238E27FC236}">
              <a16:creationId xmlns:a16="http://schemas.microsoft.com/office/drawing/2014/main" id="{A8230CFD-FF84-4762-8989-97EC87744A15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70</xdr:row>
      <xdr:rowOff>196272</xdr:rowOff>
    </xdr:from>
    <xdr:to>
      <xdr:col>8</xdr:col>
      <xdr:colOff>2320636</xdr:colOff>
      <xdr:row>70</xdr:row>
      <xdr:rowOff>346363</xdr:rowOff>
    </xdr:to>
    <xdr:sp macro="" textlink="">
      <xdr:nvSpPr>
        <xdr:cNvPr id="513" name="Isosceles Triangle 512">
          <a:extLst>
            <a:ext uri="{FF2B5EF4-FFF2-40B4-BE49-F238E27FC236}">
              <a16:creationId xmlns:a16="http://schemas.microsoft.com/office/drawing/2014/main" id="{4378E13E-11B3-4E24-9EA5-8006DC6E8821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73</xdr:row>
      <xdr:rowOff>196272</xdr:rowOff>
    </xdr:from>
    <xdr:to>
      <xdr:col>8</xdr:col>
      <xdr:colOff>2320636</xdr:colOff>
      <xdr:row>73</xdr:row>
      <xdr:rowOff>346363</xdr:rowOff>
    </xdr:to>
    <xdr:sp macro="" textlink="">
      <xdr:nvSpPr>
        <xdr:cNvPr id="514" name="Isosceles Triangle 513">
          <a:extLst>
            <a:ext uri="{FF2B5EF4-FFF2-40B4-BE49-F238E27FC236}">
              <a16:creationId xmlns:a16="http://schemas.microsoft.com/office/drawing/2014/main" id="{7ED8A12F-35C8-428A-B873-13A54CD79729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74</xdr:row>
      <xdr:rowOff>196272</xdr:rowOff>
    </xdr:from>
    <xdr:to>
      <xdr:col>8</xdr:col>
      <xdr:colOff>2320636</xdr:colOff>
      <xdr:row>74</xdr:row>
      <xdr:rowOff>346363</xdr:rowOff>
    </xdr:to>
    <xdr:sp macro="" textlink="">
      <xdr:nvSpPr>
        <xdr:cNvPr id="515" name="Isosceles Triangle 514">
          <a:extLst>
            <a:ext uri="{FF2B5EF4-FFF2-40B4-BE49-F238E27FC236}">
              <a16:creationId xmlns:a16="http://schemas.microsoft.com/office/drawing/2014/main" id="{9E12B6C1-DE67-4D7E-A66A-9322885528C4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75</xdr:row>
      <xdr:rowOff>196272</xdr:rowOff>
    </xdr:from>
    <xdr:to>
      <xdr:col>8</xdr:col>
      <xdr:colOff>2320636</xdr:colOff>
      <xdr:row>75</xdr:row>
      <xdr:rowOff>346363</xdr:rowOff>
    </xdr:to>
    <xdr:sp macro="" textlink="">
      <xdr:nvSpPr>
        <xdr:cNvPr id="516" name="Isosceles Triangle 515">
          <a:extLst>
            <a:ext uri="{FF2B5EF4-FFF2-40B4-BE49-F238E27FC236}">
              <a16:creationId xmlns:a16="http://schemas.microsoft.com/office/drawing/2014/main" id="{CB052815-9F74-42F7-84D7-708CF51065AD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76</xdr:row>
      <xdr:rowOff>196272</xdr:rowOff>
    </xdr:from>
    <xdr:to>
      <xdr:col>8</xdr:col>
      <xdr:colOff>2320636</xdr:colOff>
      <xdr:row>76</xdr:row>
      <xdr:rowOff>346363</xdr:rowOff>
    </xdr:to>
    <xdr:sp macro="" textlink="">
      <xdr:nvSpPr>
        <xdr:cNvPr id="517" name="Isosceles Triangle 516">
          <a:extLst>
            <a:ext uri="{FF2B5EF4-FFF2-40B4-BE49-F238E27FC236}">
              <a16:creationId xmlns:a16="http://schemas.microsoft.com/office/drawing/2014/main" id="{E7C9E4B3-EB95-42D0-9297-B05DD3ABC5A8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79</xdr:row>
      <xdr:rowOff>196272</xdr:rowOff>
    </xdr:from>
    <xdr:to>
      <xdr:col>8</xdr:col>
      <xdr:colOff>2320636</xdr:colOff>
      <xdr:row>79</xdr:row>
      <xdr:rowOff>346363</xdr:rowOff>
    </xdr:to>
    <xdr:sp macro="" textlink="">
      <xdr:nvSpPr>
        <xdr:cNvPr id="518" name="Isosceles Triangle 517">
          <a:extLst>
            <a:ext uri="{FF2B5EF4-FFF2-40B4-BE49-F238E27FC236}">
              <a16:creationId xmlns:a16="http://schemas.microsoft.com/office/drawing/2014/main" id="{4EAEE814-9303-418A-A3FD-CA69AFB7E08D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80</xdr:row>
      <xdr:rowOff>196272</xdr:rowOff>
    </xdr:from>
    <xdr:to>
      <xdr:col>8</xdr:col>
      <xdr:colOff>2320636</xdr:colOff>
      <xdr:row>80</xdr:row>
      <xdr:rowOff>346363</xdr:rowOff>
    </xdr:to>
    <xdr:sp macro="" textlink="">
      <xdr:nvSpPr>
        <xdr:cNvPr id="519" name="Isosceles Triangle 518">
          <a:extLst>
            <a:ext uri="{FF2B5EF4-FFF2-40B4-BE49-F238E27FC236}">
              <a16:creationId xmlns:a16="http://schemas.microsoft.com/office/drawing/2014/main" id="{8BB0323E-0A17-45D6-A6FE-D45EDADCBFF8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81</xdr:row>
      <xdr:rowOff>196272</xdr:rowOff>
    </xdr:from>
    <xdr:to>
      <xdr:col>8</xdr:col>
      <xdr:colOff>2320636</xdr:colOff>
      <xdr:row>81</xdr:row>
      <xdr:rowOff>346363</xdr:rowOff>
    </xdr:to>
    <xdr:sp macro="" textlink="">
      <xdr:nvSpPr>
        <xdr:cNvPr id="520" name="Isosceles Triangle 519">
          <a:extLst>
            <a:ext uri="{FF2B5EF4-FFF2-40B4-BE49-F238E27FC236}">
              <a16:creationId xmlns:a16="http://schemas.microsoft.com/office/drawing/2014/main" id="{DA489EDC-19F4-428B-89BE-4DFAE942ED33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85</xdr:row>
      <xdr:rowOff>196272</xdr:rowOff>
    </xdr:from>
    <xdr:to>
      <xdr:col>8</xdr:col>
      <xdr:colOff>2320636</xdr:colOff>
      <xdr:row>85</xdr:row>
      <xdr:rowOff>346363</xdr:rowOff>
    </xdr:to>
    <xdr:sp macro="" textlink="">
      <xdr:nvSpPr>
        <xdr:cNvPr id="521" name="Isosceles Triangle 520">
          <a:extLst>
            <a:ext uri="{FF2B5EF4-FFF2-40B4-BE49-F238E27FC236}">
              <a16:creationId xmlns:a16="http://schemas.microsoft.com/office/drawing/2014/main" id="{1164E047-544B-4AE7-9B1B-67B259678E70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86</xdr:row>
      <xdr:rowOff>196272</xdr:rowOff>
    </xdr:from>
    <xdr:to>
      <xdr:col>8</xdr:col>
      <xdr:colOff>2320636</xdr:colOff>
      <xdr:row>86</xdr:row>
      <xdr:rowOff>346363</xdr:rowOff>
    </xdr:to>
    <xdr:sp macro="" textlink="">
      <xdr:nvSpPr>
        <xdr:cNvPr id="522" name="Isosceles Triangle 521">
          <a:extLst>
            <a:ext uri="{FF2B5EF4-FFF2-40B4-BE49-F238E27FC236}">
              <a16:creationId xmlns:a16="http://schemas.microsoft.com/office/drawing/2014/main" id="{789574E8-849C-462D-9264-BB5167222483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87</xdr:row>
      <xdr:rowOff>196272</xdr:rowOff>
    </xdr:from>
    <xdr:to>
      <xdr:col>8</xdr:col>
      <xdr:colOff>2320636</xdr:colOff>
      <xdr:row>87</xdr:row>
      <xdr:rowOff>346363</xdr:rowOff>
    </xdr:to>
    <xdr:sp macro="" textlink="">
      <xdr:nvSpPr>
        <xdr:cNvPr id="523" name="Isosceles Triangle 522">
          <a:extLst>
            <a:ext uri="{FF2B5EF4-FFF2-40B4-BE49-F238E27FC236}">
              <a16:creationId xmlns:a16="http://schemas.microsoft.com/office/drawing/2014/main" id="{35B6D271-30A4-4F4C-BC24-B2058F2B8BD8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88</xdr:row>
      <xdr:rowOff>196272</xdr:rowOff>
    </xdr:from>
    <xdr:to>
      <xdr:col>8</xdr:col>
      <xdr:colOff>2320636</xdr:colOff>
      <xdr:row>88</xdr:row>
      <xdr:rowOff>346363</xdr:rowOff>
    </xdr:to>
    <xdr:sp macro="" textlink="">
      <xdr:nvSpPr>
        <xdr:cNvPr id="524" name="Isosceles Triangle 523">
          <a:extLst>
            <a:ext uri="{FF2B5EF4-FFF2-40B4-BE49-F238E27FC236}">
              <a16:creationId xmlns:a16="http://schemas.microsoft.com/office/drawing/2014/main" id="{83A2455F-97FB-4841-BD01-C950141BF94C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91</xdr:row>
      <xdr:rowOff>196272</xdr:rowOff>
    </xdr:from>
    <xdr:to>
      <xdr:col>8</xdr:col>
      <xdr:colOff>2320636</xdr:colOff>
      <xdr:row>91</xdr:row>
      <xdr:rowOff>346363</xdr:rowOff>
    </xdr:to>
    <xdr:sp macro="" textlink="">
      <xdr:nvSpPr>
        <xdr:cNvPr id="525" name="Isosceles Triangle 524">
          <a:extLst>
            <a:ext uri="{FF2B5EF4-FFF2-40B4-BE49-F238E27FC236}">
              <a16:creationId xmlns:a16="http://schemas.microsoft.com/office/drawing/2014/main" id="{B23190AB-F810-48A3-84A1-F95C3C6FA6BC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526" name="Isosceles Triangle 525">
          <a:extLst>
            <a:ext uri="{FF2B5EF4-FFF2-40B4-BE49-F238E27FC236}">
              <a16:creationId xmlns:a16="http://schemas.microsoft.com/office/drawing/2014/main" id="{5897C5C6-5EFD-4B0B-9B64-95B3AA809C52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93</xdr:row>
      <xdr:rowOff>196272</xdr:rowOff>
    </xdr:from>
    <xdr:to>
      <xdr:col>8</xdr:col>
      <xdr:colOff>2320636</xdr:colOff>
      <xdr:row>93</xdr:row>
      <xdr:rowOff>346363</xdr:rowOff>
    </xdr:to>
    <xdr:sp macro="" textlink="">
      <xdr:nvSpPr>
        <xdr:cNvPr id="527" name="Isosceles Triangle 526">
          <a:extLst>
            <a:ext uri="{FF2B5EF4-FFF2-40B4-BE49-F238E27FC236}">
              <a16:creationId xmlns:a16="http://schemas.microsoft.com/office/drawing/2014/main" id="{340AFD8A-6695-4E62-961B-741A7DCFF995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94</xdr:row>
      <xdr:rowOff>196272</xdr:rowOff>
    </xdr:from>
    <xdr:to>
      <xdr:col>8</xdr:col>
      <xdr:colOff>2320636</xdr:colOff>
      <xdr:row>94</xdr:row>
      <xdr:rowOff>346363</xdr:rowOff>
    </xdr:to>
    <xdr:sp macro="" textlink="">
      <xdr:nvSpPr>
        <xdr:cNvPr id="528" name="Isosceles Triangle 527">
          <a:extLst>
            <a:ext uri="{FF2B5EF4-FFF2-40B4-BE49-F238E27FC236}">
              <a16:creationId xmlns:a16="http://schemas.microsoft.com/office/drawing/2014/main" id="{E8066C26-0DF0-4C16-881F-93812B9900B4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103</xdr:row>
      <xdr:rowOff>196272</xdr:rowOff>
    </xdr:from>
    <xdr:to>
      <xdr:col>8</xdr:col>
      <xdr:colOff>2320636</xdr:colOff>
      <xdr:row>103</xdr:row>
      <xdr:rowOff>346363</xdr:rowOff>
    </xdr:to>
    <xdr:sp macro="" textlink="">
      <xdr:nvSpPr>
        <xdr:cNvPr id="529" name="Isosceles Triangle 528">
          <a:extLst>
            <a:ext uri="{FF2B5EF4-FFF2-40B4-BE49-F238E27FC236}">
              <a16:creationId xmlns:a16="http://schemas.microsoft.com/office/drawing/2014/main" id="{80B0AEBA-2040-48C1-9777-CACCDD5E5D7E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104</xdr:row>
      <xdr:rowOff>196272</xdr:rowOff>
    </xdr:from>
    <xdr:to>
      <xdr:col>8</xdr:col>
      <xdr:colOff>2320636</xdr:colOff>
      <xdr:row>104</xdr:row>
      <xdr:rowOff>346363</xdr:rowOff>
    </xdr:to>
    <xdr:sp macro="" textlink="">
      <xdr:nvSpPr>
        <xdr:cNvPr id="530" name="Isosceles Triangle 529">
          <a:extLst>
            <a:ext uri="{FF2B5EF4-FFF2-40B4-BE49-F238E27FC236}">
              <a16:creationId xmlns:a16="http://schemas.microsoft.com/office/drawing/2014/main" id="{D4016366-6DDC-481A-B9D5-2232AD2BCC7E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105</xdr:row>
      <xdr:rowOff>196272</xdr:rowOff>
    </xdr:from>
    <xdr:to>
      <xdr:col>8</xdr:col>
      <xdr:colOff>2320636</xdr:colOff>
      <xdr:row>105</xdr:row>
      <xdr:rowOff>346363</xdr:rowOff>
    </xdr:to>
    <xdr:sp macro="" textlink="">
      <xdr:nvSpPr>
        <xdr:cNvPr id="531" name="Isosceles Triangle 530">
          <a:extLst>
            <a:ext uri="{FF2B5EF4-FFF2-40B4-BE49-F238E27FC236}">
              <a16:creationId xmlns:a16="http://schemas.microsoft.com/office/drawing/2014/main" id="{11B8BB65-1476-4608-A499-9AE53001A0C6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106</xdr:row>
      <xdr:rowOff>196272</xdr:rowOff>
    </xdr:from>
    <xdr:to>
      <xdr:col>8</xdr:col>
      <xdr:colOff>2320636</xdr:colOff>
      <xdr:row>106</xdr:row>
      <xdr:rowOff>346363</xdr:rowOff>
    </xdr:to>
    <xdr:sp macro="" textlink="">
      <xdr:nvSpPr>
        <xdr:cNvPr id="532" name="Isosceles Triangle 531">
          <a:extLst>
            <a:ext uri="{FF2B5EF4-FFF2-40B4-BE49-F238E27FC236}">
              <a16:creationId xmlns:a16="http://schemas.microsoft.com/office/drawing/2014/main" id="{B36F32E9-5528-4A14-8808-E80D4D56CAFA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109</xdr:row>
      <xdr:rowOff>196272</xdr:rowOff>
    </xdr:from>
    <xdr:to>
      <xdr:col>8</xdr:col>
      <xdr:colOff>2320636</xdr:colOff>
      <xdr:row>109</xdr:row>
      <xdr:rowOff>346363</xdr:rowOff>
    </xdr:to>
    <xdr:sp macro="" textlink="">
      <xdr:nvSpPr>
        <xdr:cNvPr id="533" name="Isosceles Triangle 532">
          <a:extLst>
            <a:ext uri="{FF2B5EF4-FFF2-40B4-BE49-F238E27FC236}">
              <a16:creationId xmlns:a16="http://schemas.microsoft.com/office/drawing/2014/main" id="{1989DB91-4E20-4DF5-917A-DE843672DB2F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110</xdr:row>
      <xdr:rowOff>196272</xdr:rowOff>
    </xdr:from>
    <xdr:to>
      <xdr:col>8</xdr:col>
      <xdr:colOff>2320636</xdr:colOff>
      <xdr:row>110</xdr:row>
      <xdr:rowOff>346363</xdr:rowOff>
    </xdr:to>
    <xdr:sp macro="" textlink="">
      <xdr:nvSpPr>
        <xdr:cNvPr id="534" name="Isosceles Triangle 533">
          <a:extLst>
            <a:ext uri="{FF2B5EF4-FFF2-40B4-BE49-F238E27FC236}">
              <a16:creationId xmlns:a16="http://schemas.microsoft.com/office/drawing/2014/main" id="{FF79B8CE-A29D-4FF0-B631-57AF38725D0B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111</xdr:row>
      <xdr:rowOff>196272</xdr:rowOff>
    </xdr:from>
    <xdr:to>
      <xdr:col>8</xdr:col>
      <xdr:colOff>2320636</xdr:colOff>
      <xdr:row>111</xdr:row>
      <xdr:rowOff>346363</xdr:rowOff>
    </xdr:to>
    <xdr:sp macro="" textlink="">
      <xdr:nvSpPr>
        <xdr:cNvPr id="535" name="Isosceles Triangle 534">
          <a:extLst>
            <a:ext uri="{FF2B5EF4-FFF2-40B4-BE49-F238E27FC236}">
              <a16:creationId xmlns:a16="http://schemas.microsoft.com/office/drawing/2014/main" id="{DB6C9444-DCFF-4A49-9CCB-44A3733D1120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115</xdr:row>
      <xdr:rowOff>196272</xdr:rowOff>
    </xdr:from>
    <xdr:to>
      <xdr:col>8</xdr:col>
      <xdr:colOff>2320636</xdr:colOff>
      <xdr:row>115</xdr:row>
      <xdr:rowOff>346363</xdr:rowOff>
    </xdr:to>
    <xdr:sp macro="" textlink="">
      <xdr:nvSpPr>
        <xdr:cNvPr id="536" name="Isosceles Triangle 535">
          <a:extLst>
            <a:ext uri="{FF2B5EF4-FFF2-40B4-BE49-F238E27FC236}">
              <a16:creationId xmlns:a16="http://schemas.microsoft.com/office/drawing/2014/main" id="{E7BE17F0-5B64-4623-9C3C-70D921564FF7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116</xdr:row>
      <xdr:rowOff>196272</xdr:rowOff>
    </xdr:from>
    <xdr:to>
      <xdr:col>8</xdr:col>
      <xdr:colOff>2320636</xdr:colOff>
      <xdr:row>116</xdr:row>
      <xdr:rowOff>346363</xdr:rowOff>
    </xdr:to>
    <xdr:sp macro="" textlink="">
      <xdr:nvSpPr>
        <xdr:cNvPr id="537" name="Isosceles Triangle 536">
          <a:extLst>
            <a:ext uri="{FF2B5EF4-FFF2-40B4-BE49-F238E27FC236}">
              <a16:creationId xmlns:a16="http://schemas.microsoft.com/office/drawing/2014/main" id="{96220878-0C84-4299-BD64-8BC7F01C4CBE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117</xdr:row>
      <xdr:rowOff>196272</xdr:rowOff>
    </xdr:from>
    <xdr:to>
      <xdr:col>8</xdr:col>
      <xdr:colOff>2320636</xdr:colOff>
      <xdr:row>117</xdr:row>
      <xdr:rowOff>346363</xdr:rowOff>
    </xdr:to>
    <xdr:sp macro="" textlink="">
      <xdr:nvSpPr>
        <xdr:cNvPr id="538" name="Isosceles Triangle 537">
          <a:extLst>
            <a:ext uri="{FF2B5EF4-FFF2-40B4-BE49-F238E27FC236}">
              <a16:creationId xmlns:a16="http://schemas.microsoft.com/office/drawing/2014/main" id="{0FC7DEFF-9BB2-47D6-9550-068BFEBF4E0D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118</xdr:row>
      <xdr:rowOff>196272</xdr:rowOff>
    </xdr:from>
    <xdr:to>
      <xdr:col>8</xdr:col>
      <xdr:colOff>2320636</xdr:colOff>
      <xdr:row>118</xdr:row>
      <xdr:rowOff>346363</xdr:rowOff>
    </xdr:to>
    <xdr:sp macro="" textlink="">
      <xdr:nvSpPr>
        <xdr:cNvPr id="539" name="Isosceles Triangle 538">
          <a:extLst>
            <a:ext uri="{FF2B5EF4-FFF2-40B4-BE49-F238E27FC236}">
              <a16:creationId xmlns:a16="http://schemas.microsoft.com/office/drawing/2014/main" id="{97BD40C3-BBB2-4B6B-93EE-82AE2228091F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119</xdr:row>
      <xdr:rowOff>196272</xdr:rowOff>
    </xdr:from>
    <xdr:to>
      <xdr:col>8</xdr:col>
      <xdr:colOff>2320636</xdr:colOff>
      <xdr:row>119</xdr:row>
      <xdr:rowOff>346363</xdr:rowOff>
    </xdr:to>
    <xdr:sp macro="" textlink="">
      <xdr:nvSpPr>
        <xdr:cNvPr id="540" name="Isosceles Triangle 539">
          <a:extLst>
            <a:ext uri="{FF2B5EF4-FFF2-40B4-BE49-F238E27FC236}">
              <a16:creationId xmlns:a16="http://schemas.microsoft.com/office/drawing/2014/main" id="{7E880ED9-AA8A-4712-A863-C04F64365E62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121</xdr:row>
      <xdr:rowOff>196272</xdr:rowOff>
    </xdr:from>
    <xdr:to>
      <xdr:col>8</xdr:col>
      <xdr:colOff>2320636</xdr:colOff>
      <xdr:row>121</xdr:row>
      <xdr:rowOff>346363</xdr:rowOff>
    </xdr:to>
    <xdr:sp macro="" textlink="">
      <xdr:nvSpPr>
        <xdr:cNvPr id="541" name="Isosceles Triangle 540">
          <a:extLst>
            <a:ext uri="{FF2B5EF4-FFF2-40B4-BE49-F238E27FC236}">
              <a16:creationId xmlns:a16="http://schemas.microsoft.com/office/drawing/2014/main" id="{CEDD4A69-2989-4D13-AFC0-6B921B16F517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122</xdr:row>
      <xdr:rowOff>196272</xdr:rowOff>
    </xdr:from>
    <xdr:to>
      <xdr:col>8</xdr:col>
      <xdr:colOff>2320636</xdr:colOff>
      <xdr:row>122</xdr:row>
      <xdr:rowOff>346363</xdr:rowOff>
    </xdr:to>
    <xdr:sp macro="" textlink="">
      <xdr:nvSpPr>
        <xdr:cNvPr id="542" name="Isosceles Triangle 541">
          <a:extLst>
            <a:ext uri="{FF2B5EF4-FFF2-40B4-BE49-F238E27FC236}">
              <a16:creationId xmlns:a16="http://schemas.microsoft.com/office/drawing/2014/main" id="{1473FF85-366E-4FFC-ACE5-886910848C12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123</xdr:row>
      <xdr:rowOff>196272</xdr:rowOff>
    </xdr:from>
    <xdr:to>
      <xdr:col>8</xdr:col>
      <xdr:colOff>2320636</xdr:colOff>
      <xdr:row>123</xdr:row>
      <xdr:rowOff>346363</xdr:rowOff>
    </xdr:to>
    <xdr:sp macro="" textlink="">
      <xdr:nvSpPr>
        <xdr:cNvPr id="543" name="Isosceles Triangle 542">
          <a:extLst>
            <a:ext uri="{FF2B5EF4-FFF2-40B4-BE49-F238E27FC236}">
              <a16:creationId xmlns:a16="http://schemas.microsoft.com/office/drawing/2014/main" id="{8D091D43-9E42-4C5A-862F-3B3F3CA38A44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124</xdr:row>
      <xdr:rowOff>196272</xdr:rowOff>
    </xdr:from>
    <xdr:to>
      <xdr:col>8</xdr:col>
      <xdr:colOff>2320636</xdr:colOff>
      <xdr:row>124</xdr:row>
      <xdr:rowOff>346363</xdr:rowOff>
    </xdr:to>
    <xdr:sp macro="" textlink="">
      <xdr:nvSpPr>
        <xdr:cNvPr id="544" name="Isosceles Triangle 543">
          <a:extLst>
            <a:ext uri="{FF2B5EF4-FFF2-40B4-BE49-F238E27FC236}">
              <a16:creationId xmlns:a16="http://schemas.microsoft.com/office/drawing/2014/main" id="{14479EE7-FE20-4830-966A-3C7446B5397F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127</xdr:row>
      <xdr:rowOff>196272</xdr:rowOff>
    </xdr:from>
    <xdr:to>
      <xdr:col>8</xdr:col>
      <xdr:colOff>2320636</xdr:colOff>
      <xdr:row>127</xdr:row>
      <xdr:rowOff>346363</xdr:rowOff>
    </xdr:to>
    <xdr:sp macro="" textlink="">
      <xdr:nvSpPr>
        <xdr:cNvPr id="545" name="Isosceles Triangle 544">
          <a:extLst>
            <a:ext uri="{FF2B5EF4-FFF2-40B4-BE49-F238E27FC236}">
              <a16:creationId xmlns:a16="http://schemas.microsoft.com/office/drawing/2014/main" id="{2015D276-4F42-47C2-96F5-2BE6F9267A8C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128</xdr:row>
      <xdr:rowOff>196272</xdr:rowOff>
    </xdr:from>
    <xdr:to>
      <xdr:col>8</xdr:col>
      <xdr:colOff>2320636</xdr:colOff>
      <xdr:row>128</xdr:row>
      <xdr:rowOff>346363</xdr:rowOff>
    </xdr:to>
    <xdr:sp macro="" textlink="">
      <xdr:nvSpPr>
        <xdr:cNvPr id="546" name="Isosceles Triangle 545">
          <a:extLst>
            <a:ext uri="{FF2B5EF4-FFF2-40B4-BE49-F238E27FC236}">
              <a16:creationId xmlns:a16="http://schemas.microsoft.com/office/drawing/2014/main" id="{5B56EAE3-FB1A-4C7E-AC8B-E04AA6F13800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129</xdr:row>
      <xdr:rowOff>196272</xdr:rowOff>
    </xdr:from>
    <xdr:to>
      <xdr:col>8</xdr:col>
      <xdr:colOff>2320636</xdr:colOff>
      <xdr:row>129</xdr:row>
      <xdr:rowOff>346363</xdr:rowOff>
    </xdr:to>
    <xdr:sp macro="" textlink="">
      <xdr:nvSpPr>
        <xdr:cNvPr id="547" name="Isosceles Triangle 546">
          <a:extLst>
            <a:ext uri="{FF2B5EF4-FFF2-40B4-BE49-F238E27FC236}">
              <a16:creationId xmlns:a16="http://schemas.microsoft.com/office/drawing/2014/main" id="{993D8011-0DCA-4AB8-A286-8322598500DE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130</xdr:row>
      <xdr:rowOff>196272</xdr:rowOff>
    </xdr:from>
    <xdr:to>
      <xdr:col>8</xdr:col>
      <xdr:colOff>2320636</xdr:colOff>
      <xdr:row>130</xdr:row>
      <xdr:rowOff>346363</xdr:rowOff>
    </xdr:to>
    <xdr:sp macro="" textlink="">
      <xdr:nvSpPr>
        <xdr:cNvPr id="548" name="Isosceles Triangle 547">
          <a:extLst>
            <a:ext uri="{FF2B5EF4-FFF2-40B4-BE49-F238E27FC236}">
              <a16:creationId xmlns:a16="http://schemas.microsoft.com/office/drawing/2014/main" id="{1F0F371B-3378-48C5-8BCA-AAA8F8B10B7E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133</xdr:row>
      <xdr:rowOff>196272</xdr:rowOff>
    </xdr:from>
    <xdr:to>
      <xdr:col>8</xdr:col>
      <xdr:colOff>2320636</xdr:colOff>
      <xdr:row>133</xdr:row>
      <xdr:rowOff>346363</xdr:rowOff>
    </xdr:to>
    <xdr:sp macro="" textlink="">
      <xdr:nvSpPr>
        <xdr:cNvPr id="549" name="Isosceles Triangle 548">
          <a:extLst>
            <a:ext uri="{FF2B5EF4-FFF2-40B4-BE49-F238E27FC236}">
              <a16:creationId xmlns:a16="http://schemas.microsoft.com/office/drawing/2014/main" id="{4A1F5A51-5973-46FB-9B81-DC337A8FDE8D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134</xdr:row>
      <xdr:rowOff>196272</xdr:rowOff>
    </xdr:from>
    <xdr:to>
      <xdr:col>8</xdr:col>
      <xdr:colOff>2320636</xdr:colOff>
      <xdr:row>134</xdr:row>
      <xdr:rowOff>346363</xdr:rowOff>
    </xdr:to>
    <xdr:sp macro="" textlink="">
      <xdr:nvSpPr>
        <xdr:cNvPr id="550" name="Isosceles Triangle 549">
          <a:extLst>
            <a:ext uri="{FF2B5EF4-FFF2-40B4-BE49-F238E27FC236}">
              <a16:creationId xmlns:a16="http://schemas.microsoft.com/office/drawing/2014/main" id="{6FE66B0C-7302-4475-AD2C-3A7460ED923B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135</xdr:row>
      <xdr:rowOff>196272</xdr:rowOff>
    </xdr:from>
    <xdr:to>
      <xdr:col>8</xdr:col>
      <xdr:colOff>2320636</xdr:colOff>
      <xdr:row>135</xdr:row>
      <xdr:rowOff>346363</xdr:rowOff>
    </xdr:to>
    <xdr:sp macro="" textlink="">
      <xdr:nvSpPr>
        <xdr:cNvPr id="551" name="Isosceles Triangle 550">
          <a:extLst>
            <a:ext uri="{FF2B5EF4-FFF2-40B4-BE49-F238E27FC236}">
              <a16:creationId xmlns:a16="http://schemas.microsoft.com/office/drawing/2014/main" id="{5A5BB105-F131-4D6B-9BD2-5E324BBD7E6C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136</xdr:row>
      <xdr:rowOff>196272</xdr:rowOff>
    </xdr:from>
    <xdr:to>
      <xdr:col>8</xdr:col>
      <xdr:colOff>2320636</xdr:colOff>
      <xdr:row>136</xdr:row>
      <xdr:rowOff>346363</xdr:rowOff>
    </xdr:to>
    <xdr:sp macro="" textlink="">
      <xdr:nvSpPr>
        <xdr:cNvPr id="552" name="Isosceles Triangle 551">
          <a:extLst>
            <a:ext uri="{FF2B5EF4-FFF2-40B4-BE49-F238E27FC236}">
              <a16:creationId xmlns:a16="http://schemas.microsoft.com/office/drawing/2014/main" id="{ECAE6FA5-CFEB-4FDB-BF90-54DE6092AEB7}"/>
            </a:ext>
          </a:extLst>
        </xdr:cNvPr>
        <xdr:cNvSpPr/>
      </xdr:nvSpPr>
      <xdr:spPr>
        <a:xfrm rot="10800000">
          <a:off x="10621817" y="1499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553" name="Isosceles Triangle 552">
          <a:extLst>
            <a:ext uri="{FF2B5EF4-FFF2-40B4-BE49-F238E27FC236}">
              <a16:creationId xmlns:a16="http://schemas.microsoft.com/office/drawing/2014/main" id="{3F60EA46-A26B-4C22-984E-3BA5BC49009C}"/>
            </a:ext>
          </a:extLst>
        </xdr:cNvPr>
        <xdr:cNvSpPr/>
      </xdr:nvSpPr>
      <xdr:spPr>
        <a:xfrm rot="10800000">
          <a:off x="10621817" y="7499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554" name="Isosceles Triangle 553">
          <a:extLst>
            <a:ext uri="{FF2B5EF4-FFF2-40B4-BE49-F238E27FC236}">
              <a16:creationId xmlns:a16="http://schemas.microsoft.com/office/drawing/2014/main" id="{0C18E64D-ECB0-4EF3-B488-000FDBDB8675}"/>
            </a:ext>
          </a:extLst>
        </xdr:cNvPr>
        <xdr:cNvSpPr/>
      </xdr:nvSpPr>
      <xdr:spPr>
        <a:xfrm rot="10800000">
          <a:off x="10621817" y="7499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43</xdr:row>
      <xdr:rowOff>196272</xdr:rowOff>
    </xdr:from>
    <xdr:to>
      <xdr:col>8</xdr:col>
      <xdr:colOff>2320636</xdr:colOff>
      <xdr:row>43</xdr:row>
      <xdr:rowOff>346363</xdr:rowOff>
    </xdr:to>
    <xdr:sp macro="" textlink="">
      <xdr:nvSpPr>
        <xdr:cNvPr id="555" name="Isosceles Triangle 554">
          <a:extLst>
            <a:ext uri="{FF2B5EF4-FFF2-40B4-BE49-F238E27FC236}">
              <a16:creationId xmlns:a16="http://schemas.microsoft.com/office/drawing/2014/main" id="{0B52FD12-875E-4C5D-BBBC-C4AE8E91EA58}"/>
            </a:ext>
          </a:extLst>
        </xdr:cNvPr>
        <xdr:cNvSpPr/>
      </xdr:nvSpPr>
      <xdr:spPr>
        <a:xfrm rot="10800000">
          <a:off x="14088917" y="2356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44</xdr:row>
      <xdr:rowOff>196272</xdr:rowOff>
    </xdr:from>
    <xdr:to>
      <xdr:col>8</xdr:col>
      <xdr:colOff>2320636</xdr:colOff>
      <xdr:row>44</xdr:row>
      <xdr:rowOff>346363</xdr:rowOff>
    </xdr:to>
    <xdr:sp macro="" textlink="">
      <xdr:nvSpPr>
        <xdr:cNvPr id="556" name="Isosceles Triangle 555">
          <a:extLst>
            <a:ext uri="{FF2B5EF4-FFF2-40B4-BE49-F238E27FC236}">
              <a16:creationId xmlns:a16="http://schemas.microsoft.com/office/drawing/2014/main" id="{9A7CAD71-744B-4780-8797-01E416EE7DFD}"/>
            </a:ext>
          </a:extLst>
        </xdr:cNvPr>
        <xdr:cNvSpPr/>
      </xdr:nvSpPr>
      <xdr:spPr>
        <a:xfrm rot="10800000">
          <a:off x="14088917" y="2356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45</xdr:row>
      <xdr:rowOff>196272</xdr:rowOff>
    </xdr:from>
    <xdr:to>
      <xdr:col>8</xdr:col>
      <xdr:colOff>2320636</xdr:colOff>
      <xdr:row>45</xdr:row>
      <xdr:rowOff>346363</xdr:rowOff>
    </xdr:to>
    <xdr:sp macro="" textlink="">
      <xdr:nvSpPr>
        <xdr:cNvPr id="557" name="Isosceles Triangle 556">
          <a:extLst>
            <a:ext uri="{FF2B5EF4-FFF2-40B4-BE49-F238E27FC236}">
              <a16:creationId xmlns:a16="http://schemas.microsoft.com/office/drawing/2014/main" id="{F7850104-06DF-49A1-B12F-EA0748A5FD11}"/>
            </a:ext>
          </a:extLst>
        </xdr:cNvPr>
        <xdr:cNvSpPr/>
      </xdr:nvSpPr>
      <xdr:spPr>
        <a:xfrm rot="10800000">
          <a:off x="14088917" y="2356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46</xdr:row>
      <xdr:rowOff>196272</xdr:rowOff>
    </xdr:from>
    <xdr:to>
      <xdr:col>8</xdr:col>
      <xdr:colOff>2320636</xdr:colOff>
      <xdr:row>46</xdr:row>
      <xdr:rowOff>346363</xdr:rowOff>
    </xdr:to>
    <xdr:sp macro="" textlink="">
      <xdr:nvSpPr>
        <xdr:cNvPr id="558" name="Isosceles Triangle 557">
          <a:extLst>
            <a:ext uri="{FF2B5EF4-FFF2-40B4-BE49-F238E27FC236}">
              <a16:creationId xmlns:a16="http://schemas.microsoft.com/office/drawing/2014/main" id="{C4F49D76-6FB3-4D3D-8E0F-C364FD43100F}"/>
            </a:ext>
          </a:extLst>
        </xdr:cNvPr>
        <xdr:cNvSpPr/>
      </xdr:nvSpPr>
      <xdr:spPr>
        <a:xfrm rot="10800000">
          <a:off x="14088917" y="2356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559" name="Isosceles Triangle 558">
          <a:extLst>
            <a:ext uri="{FF2B5EF4-FFF2-40B4-BE49-F238E27FC236}">
              <a16:creationId xmlns:a16="http://schemas.microsoft.com/office/drawing/2014/main" id="{3BCC551B-8049-461D-A37A-AA027A9E971C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560" name="Isosceles Triangle 559">
          <a:extLst>
            <a:ext uri="{FF2B5EF4-FFF2-40B4-BE49-F238E27FC236}">
              <a16:creationId xmlns:a16="http://schemas.microsoft.com/office/drawing/2014/main" id="{56BE9E7E-399D-4E1D-8B17-AC6773055FDF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561" name="Isosceles Triangle 560">
          <a:extLst>
            <a:ext uri="{FF2B5EF4-FFF2-40B4-BE49-F238E27FC236}">
              <a16:creationId xmlns:a16="http://schemas.microsoft.com/office/drawing/2014/main" id="{7FBC9C86-09F6-4D4F-A0EE-34CF925CAB68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562" name="Isosceles Triangle 561">
          <a:extLst>
            <a:ext uri="{FF2B5EF4-FFF2-40B4-BE49-F238E27FC236}">
              <a16:creationId xmlns:a16="http://schemas.microsoft.com/office/drawing/2014/main" id="{611851B0-44CE-4119-98CC-C798EBA1B014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563" name="Isosceles Triangle 562">
          <a:extLst>
            <a:ext uri="{FF2B5EF4-FFF2-40B4-BE49-F238E27FC236}">
              <a16:creationId xmlns:a16="http://schemas.microsoft.com/office/drawing/2014/main" id="{7E4E6C44-12B4-4637-8402-A8B2F5EF103C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564" name="Isosceles Triangle 563">
          <a:extLst>
            <a:ext uri="{FF2B5EF4-FFF2-40B4-BE49-F238E27FC236}">
              <a16:creationId xmlns:a16="http://schemas.microsoft.com/office/drawing/2014/main" id="{99829274-53EF-470B-BA50-31F93E5113E2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565" name="Isosceles Triangle 564">
          <a:extLst>
            <a:ext uri="{FF2B5EF4-FFF2-40B4-BE49-F238E27FC236}">
              <a16:creationId xmlns:a16="http://schemas.microsoft.com/office/drawing/2014/main" id="{951E08D3-EB0D-4886-BAFD-E733EBC2240A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566" name="Isosceles Triangle 565">
          <a:extLst>
            <a:ext uri="{FF2B5EF4-FFF2-40B4-BE49-F238E27FC236}">
              <a16:creationId xmlns:a16="http://schemas.microsoft.com/office/drawing/2014/main" id="{AC170A86-2652-4D39-BCE3-A62AB17157B5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27</xdr:row>
      <xdr:rowOff>196272</xdr:rowOff>
    </xdr:from>
    <xdr:to>
      <xdr:col>8</xdr:col>
      <xdr:colOff>2320636</xdr:colOff>
      <xdr:row>27</xdr:row>
      <xdr:rowOff>346363</xdr:rowOff>
    </xdr:to>
    <xdr:sp macro="" textlink="">
      <xdr:nvSpPr>
        <xdr:cNvPr id="567" name="Isosceles Triangle 566">
          <a:extLst>
            <a:ext uri="{FF2B5EF4-FFF2-40B4-BE49-F238E27FC236}">
              <a16:creationId xmlns:a16="http://schemas.microsoft.com/office/drawing/2014/main" id="{B9370098-6C75-4CAB-95A5-D205486FFE3E}"/>
            </a:ext>
          </a:extLst>
        </xdr:cNvPr>
        <xdr:cNvSpPr/>
      </xdr:nvSpPr>
      <xdr:spPr>
        <a:xfrm rot="10800000">
          <a:off x="106218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27</xdr:row>
      <xdr:rowOff>196272</xdr:rowOff>
    </xdr:from>
    <xdr:to>
      <xdr:col>8</xdr:col>
      <xdr:colOff>2320636</xdr:colOff>
      <xdr:row>27</xdr:row>
      <xdr:rowOff>346363</xdr:rowOff>
    </xdr:to>
    <xdr:sp macro="" textlink="">
      <xdr:nvSpPr>
        <xdr:cNvPr id="568" name="Isosceles Triangle 567">
          <a:extLst>
            <a:ext uri="{FF2B5EF4-FFF2-40B4-BE49-F238E27FC236}">
              <a16:creationId xmlns:a16="http://schemas.microsoft.com/office/drawing/2014/main" id="{D691A42F-35E4-470C-8369-205244875EE7}"/>
            </a:ext>
          </a:extLst>
        </xdr:cNvPr>
        <xdr:cNvSpPr/>
      </xdr:nvSpPr>
      <xdr:spPr>
        <a:xfrm rot="10800000">
          <a:off x="106218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569" name="Isosceles Triangle 568">
          <a:extLst>
            <a:ext uri="{FF2B5EF4-FFF2-40B4-BE49-F238E27FC236}">
              <a16:creationId xmlns:a16="http://schemas.microsoft.com/office/drawing/2014/main" id="{669B1557-FB09-44B2-A2D2-C4599455F29B}"/>
            </a:ext>
          </a:extLst>
        </xdr:cNvPr>
        <xdr:cNvSpPr/>
      </xdr:nvSpPr>
      <xdr:spPr>
        <a:xfrm rot="10800000">
          <a:off x="140889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570" name="Isosceles Triangle 569">
          <a:extLst>
            <a:ext uri="{FF2B5EF4-FFF2-40B4-BE49-F238E27FC236}">
              <a16:creationId xmlns:a16="http://schemas.microsoft.com/office/drawing/2014/main" id="{F9AA8F23-BB1B-40DA-80A2-B8F17EC63B90}"/>
            </a:ext>
          </a:extLst>
        </xdr:cNvPr>
        <xdr:cNvSpPr/>
      </xdr:nvSpPr>
      <xdr:spPr>
        <a:xfrm rot="10800000">
          <a:off x="140889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571" name="Isosceles Triangle 570">
          <a:extLst>
            <a:ext uri="{FF2B5EF4-FFF2-40B4-BE49-F238E27FC236}">
              <a16:creationId xmlns:a16="http://schemas.microsoft.com/office/drawing/2014/main" id="{A1FD8837-6B61-475B-B25C-C10A7FCA6678}"/>
            </a:ext>
          </a:extLst>
        </xdr:cNvPr>
        <xdr:cNvSpPr/>
      </xdr:nvSpPr>
      <xdr:spPr>
        <a:xfrm rot="10800000">
          <a:off x="140889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572" name="Isosceles Triangle 571">
          <a:extLst>
            <a:ext uri="{FF2B5EF4-FFF2-40B4-BE49-F238E27FC236}">
              <a16:creationId xmlns:a16="http://schemas.microsoft.com/office/drawing/2014/main" id="{D49C2C53-DF1C-4DF1-A5AC-056BE514F481}"/>
            </a:ext>
          </a:extLst>
        </xdr:cNvPr>
        <xdr:cNvSpPr/>
      </xdr:nvSpPr>
      <xdr:spPr>
        <a:xfrm rot="10800000">
          <a:off x="140889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</xdr:row>
      <xdr:rowOff>196272</xdr:rowOff>
    </xdr:from>
    <xdr:to>
      <xdr:col>8</xdr:col>
      <xdr:colOff>2320636</xdr:colOff>
      <xdr:row>8</xdr:row>
      <xdr:rowOff>346363</xdr:rowOff>
    </xdr:to>
    <xdr:sp macro="" textlink="">
      <xdr:nvSpPr>
        <xdr:cNvPr id="573" name="Isosceles Triangle 572">
          <a:extLst>
            <a:ext uri="{FF2B5EF4-FFF2-40B4-BE49-F238E27FC236}">
              <a16:creationId xmlns:a16="http://schemas.microsoft.com/office/drawing/2014/main" id="{01172C82-FCDA-4424-995F-A8CE3F0BFCA0}"/>
            </a:ext>
          </a:extLst>
        </xdr:cNvPr>
        <xdr:cNvSpPr/>
      </xdr:nvSpPr>
      <xdr:spPr>
        <a:xfrm rot="10800000">
          <a:off x="10621817" y="299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</xdr:row>
      <xdr:rowOff>196272</xdr:rowOff>
    </xdr:from>
    <xdr:to>
      <xdr:col>8</xdr:col>
      <xdr:colOff>2320636</xdr:colOff>
      <xdr:row>8</xdr:row>
      <xdr:rowOff>346363</xdr:rowOff>
    </xdr:to>
    <xdr:sp macro="" textlink="">
      <xdr:nvSpPr>
        <xdr:cNvPr id="574" name="Isosceles Triangle 573">
          <a:extLst>
            <a:ext uri="{FF2B5EF4-FFF2-40B4-BE49-F238E27FC236}">
              <a16:creationId xmlns:a16="http://schemas.microsoft.com/office/drawing/2014/main" id="{EBC315FA-F391-42B2-A7D1-8C2A42E933EE}"/>
            </a:ext>
          </a:extLst>
        </xdr:cNvPr>
        <xdr:cNvSpPr/>
      </xdr:nvSpPr>
      <xdr:spPr>
        <a:xfrm rot="10800000">
          <a:off x="10621817" y="299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</xdr:row>
      <xdr:rowOff>196272</xdr:rowOff>
    </xdr:from>
    <xdr:to>
      <xdr:col>8</xdr:col>
      <xdr:colOff>2320636</xdr:colOff>
      <xdr:row>9</xdr:row>
      <xdr:rowOff>346363</xdr:rowOff>
    </xdr:to>
    <xdr:sp macro="" textlink="">
      <xdr:nvSpPr>
        <xdr:cNvPr id="575" name="Isosceles Triangle 574">
          <a:extLst>
            <a:ext uri="{FF2B5EF4-FFF2-40B4-BE49-F238E27FC236}">
              <a16:creationId xmlns:a16="http://schemas.microsoft.com/office/drawing/2014/main" id="{35D2A326-8550-4B35-B4A6-C578C8B13C37}"/>
            </a:ext>
          </a:extLst>
        </xdr:cNvPr>
        <xdr:cNvSpPr/>
      </xdr:nvSpPr>
      <xdr:spPr>
        <a:xfrm rot="10800000">
          <a:off x="10621817" y="299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</xdr:row>
      <xdr:rowOff>196272</xdr:rowOff>
    </xdr:from>
    <xdr:to>
      <xdr:col>8</xdr:col>
      <xdr:colOff>2320636</xdr:colOff>
      <xdr:row>9</xdr:row>
      <xdr:rowOff>346363</xdr:rowOff>
    </xdr:to>
    <xdr:sp macro="" textlink="">
      <xdr:nvSpPr>
        <xdr:cNvPr id="576" name="Isosceles Triangle 575">
          <a:extLst>
            <a:ext uri="{FF2B5EF4-FFF2-40B4-BE49-F238E27FC236}">
              <a16:creationId xmlns:a16="http://schemas.microsoft.com/office/drawing/2014/main" id="{1E95EB7A-4E2A-402B-8A04-183DBCA486AF}"/>
            </a:ext>
          </a:extLst>
        </xdr:cNvPr>
        <xdr:cNvSpPr/>
      </xdr:nvSpPr>
      <xdr:spPr>
        <a:xfrm rot="10800000">
          <a:off x="10621817" y="299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</xdr:row>
      <xdr:rowOff>196272</xdr:rowOff>
    </xdr:from>
    <xdr:to>
      <xdr:col>8</xdr:col>
      <xdr:colOff>2320636</xdr:colOff>
      <xdr:row>13</xdr:row>
      <xdr:rowOff>346363</xdr:rowOff>
    </xdr:to>
    <xdr:sp macro="" textlink="">
      <xdr:nvSpPr>
        <xdr:cNvPr id="577" name="Isosceles Triangle 576">
          <a:extLst>
            <a:ext uri="{FF2B5EF4-FFF2-40B4-BE49-F238E27FC236}">
              <a16:creationId xmlns:a16="http://schemas.microsoft.com/office/drawing/2014/main" id="{F3A5762D-2FCD-4B80-B3FD-8377CF19BFFC}"/>
            </a:ext>
          </a:extLst>
        </xdr:cNvPr>
        <xdr:cNvSpPr/>
      </xdr:nvSpPr>
      <xdr:spPr>
        <a:xfrm rot="10800000">
          <a:off x="10621817" y="299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</xdr:row>
      <xdr:rowOff>196272</xdr:rowOff>
    </xdr:from>
    <xdr:to>
      <xdr:col>8</xdr:col>
      <xdr:colOff>2320636</xdr:colOff>
      <xdr:row>13</xdr:row>
      <xdr:rowOff>346363</xdr:rowOff>
    </xdr:to>
    <xdr:sp macro="" textlink="">
      <xdr:nvSpPr>
        <xdr:cNvPr id="578" name="Isosceles Triangle 577">
          <a:extLst>
            <a:ext uri="{FF2B5EF4-FFF2-40B4-BE49-F238E27FC236}">
              <a16:creationId xmlns:a16="http://schemas.microsoft.com/office/drawing/2014/main" id="{DCED4C46-3505-4475-BFE4-57FFF94B490F}"/>
            </a:ext>
          </a:extLst>
        </xdr:cNvPr>
        <xdr:cNvSpPr/>
      </xdr:nvSpPr>
      <xdr:spPr>
        <a:xfrm rot="10800000">
          <a:off x="10621817" y="299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</xdr:row>
      <xdr:rowOff>196272</xdr:rowOff>
    </xdr:from>
    <xdr:to>
      <xdr:col>8</xdr:col>
      <xdr:colOff>2320636</xdr:colOff>
      <xdr:row>14</xdr:row>
      <xdr:rowOff>346363</xdr:rowOff>
    </xdr:to>
    <xdr:sp macro="" textlink="">
      <xdr:nvSpPr>
        <xdr:cNvPr id="579" name="Isosceles Triangle 578">
          <a:extLst>
            <a:ext uri="{FF2B5EF4-FFF2-40B4-BE49-F238E27FC236}">
              <a16:creationId xmlns:a16="http://schemas.microsoft.com/office/drawing/2014/main" id="{8727E55B-1E44-41FF-9E17-81F431D6380F}"/>
            </a:ext>
          </a:extLst>
        </xdr:cNvPr>
        <xdr:cNvSpPr/>
      </xdr:nvSpPr>
      <xdr:spPr>
        <a:xfrm rot="10800000">
          <a:off x="10621817" y="299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</xdr:row>
      <xdr:rowOff>196272</xdr:rowOff>
    </xdr:from>
    <xdr:to>
      <xdr:col>8</xdr:col>
      <xdr:colOff>2320636</xdr:colOff>
      <xdr:row>14</xdr:row>
      <xdr:rowOff>346363</xdr:rowOff>
    </xdr:to>
    <xdr:sp macro="" textlink="">
      <xdr:nvSpPr>
        <xdr:cNvPr id="580" name="Isosceles Triangle 579">
          <a:extLst>
            <a:ext uri="{FF2B5EF4-FFF2-40B4-BE49-F238E27FC236}">
              <a16:creationId xmlns:a16="http://schemas.microsoft.com/office/drawing/2014/main" id="{B06FC1F0-3732-4B50-8392-731FB55AC78C}"/>
            </a:ext>
          </a:extLst>
        </xdr:cNvPr>
        <xdr:cNvSpPr/>
      </xdr:nvSpPr>
      <xdr:spPr>
        <a:xfrm rot="10800000">
          <a:off x="10621817" y="299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</xdr:row>
      <xdr:rowOff>196272</xdr:rowOff>
    </xdr:from>
    <xdr:to>
      <xdr:col>8</xdr:col>
      <xdr:colOff>2320636</xdr:colOff>
      <xdr:row>15</xdr:row>
      <xdr:rowOff>346363</xdr:rowOff>
    </xdr:to>
    <xdr:sp macro="" textlink="">
      <xdr:nvSpPr>
        <xdr:cNvPr id="581" name="Isosceles Triangle 580">
          <a:extLst>
            <a:ext uri="{FF2B5EF4-FFF2-40B4-BE49-F238E27FC236}">
              <a16:creationId xmlns:a16="http://schemas.microsoft.com/office/drawing/2014/main" id="{86DC3207-A3C6-4BAF-8615-D788BC428A03}"/>
            </a:ext>
          </a:extLst>
        </xdr:cNvPr>
        <xdr:cNvSpPr/>
      </xdr:nvSpPr>
      <xdr:spPr>
        <a:xfrm rot="10800000">
          <a:off x="10621817" y="299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</xdr:row>
      <xdr:rowOff>196272</xdr:rowOff>
    </xdr:from>
    <xdr:to>
      <xdr:col>8</xdr:col>
      <xdr:colOff>2320636</xdr:colOff>
      <xdr:row>15</xdr:row>
      <xdr:rowOff>346363</xdr:rowOff>
    </xdr:to>
    <xdr:sp macro="" textlink="">
      <xdr:nvSpPr>
        <xdr:cNvPr id="582" name="Isosceles Triangle 581">
          <a:extLst>
            <a:ext uri="{FF2B5EF4-FFF2-40B4-BE49-F238E27FC236}">
              <a16:creationId xmlns:a16="http://schemas.microsoft.com/office/drawing/2014/main" id="{E475336F-D14E-4F9E-BE5D-C3947F9AB932}"/>
            </a:ext>
          </a:extLst>
        </xdr:cNvPr>
        <xdr:cNvSpPr/>
      </xdr:nvSpPr>
      <xdr:spPr>
        <a:xfrm rot="10800000">
          <a:off x="10621817" y="299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</xdr:row>
      <xdr:rowOff>196272</xdr:rowOff>
    </xdr:from>
    <xdr:to>
      <xdr:col>8</xdr:col>
      <xdr:colOff>2320636</xdr:colOff>
      <xdr:row>10</xdr:row>
      <xdr:rowOff>346363</xdr:rowOff>
    </xdr:to>
    <xdr:sp macro="" textlink="">
      <xdr:nvSpPr>
        <xdr:cNvPr id="583" name="Isosceles Triangle 582">
          <a:extLst>
            <a:ext uri="{FF2B5EF4-FFF2-40B4-BE49-F238E27FC236}">
              <a16:creationId xmlns:a16="http://schemas.microsoft.com/office/drawing/2014/main" id="{B47BF0BD-DD05-42E3-B4EB-EA6DF0EA0DD9}"/>
            </a:ext>
          </a:extLst>
        </xdr:cNvPr>
        <xdr:cNvSpPr/>
      </xdr:nvSpPr>
      <xdr:spPr>
        <a:xfrm rot="10800000">
          <a:off x="10621817" y="299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</xdr:row>
      <xdr:rowOff>196272</xdr:rowOff>
    </xdr:from>
    <xdr:to>
      <xdr:col>8</xdr:col>
      <xdr:colOff>2320636</xdr:colOff>
      <xdr:row>10</xdr:row>
      <xdr:rowOff>346363</xdr:rowOff>
    </xdr:to>
    <xdr:sp macro="" textlink="">
      <xdr:nvSpPr>
        <xdr:cNvPr id="584" name="Isosceles Triangle 583">
          <a:extLst>
            <a:ext uri="{FF2B5EF4-FFF2-40B4-BE49-F238E27FC236}">
              <a16:creationId xmlns:a16="http://schemas.microsoft.com/office/drawing/2014/main" id="{6B3F53F0-6323-47E6-9D8A-90E197D97BDB}"/>
            </a:ext>
          </a:extLst>
        </xdr:cNvPr>
        <xdr:cNvSpPr/>
      </xdr:nvSpPr>
      <xdr:spPr>
        <a:xfrm rot="10800000">
          <a:off x="10621817" y="299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</xdr:row>
      <xdr:rowOff>196272</xdr:rowOff>
    </xdr:from>
    <xdr:to>
      <xdr:col>8</xdr:col>
      <xdr:colOff>2320636</xdr:colOff>
      <xdr:row>16</xdr:row>
      <xdr:rowOff>346363</xdr:rowOff>
    </xdr:to>
    <xdr:sp macro="" textlink="">
      <xdr:nvSpPr>
        <xdr:cNvPr id="585" name="Isosceles Triangle 584">
          <a:extLst>
            <a:ext uri="{FF2B5EF4-FFF2-40B4-BE49-F238E27FC236}">
              <a16:creationId xmlns:a16="http://schemas.microsoft.com/office/drawing/2014/main" id="{883BEEEC-E083-4CEF-B5ED-06F9D43F1771}"/>
            </a:ext>
          </a:extLst>
        </xdr:cNvPr>
        <xdr:cNvSpPr/>
      </xdr:nvSpPr>
      <xdr:spPr>
        <a:xfrm rot="10800000">
          <a:off x="10621817" y="299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</xdr:row>
      <xdr:rowOff>196272</xdr:rowOff>
    </xdr:from>
    <xdr:to>
      <xdr:col>8</xdr:col>
      <xdr:colOff>2320636</xdr:colOff>
      <xdr:row>16</xdr:row>
      <xdr:rowOff>346363</xdr:rowOff>
    </xdr:to>
    <xdr:sp macro="" textlink="">
      <xdr:nvSpPr>
        <xdr:cNvPr id="586" name="Isosceles Triangle 585">
          <a:extLst>
            <a:ext uri="{FF2B5EF4-FFF2-40B4-BE49-F238E27FC236}">
              <a16:creationId xmlns:a16="http://schemas.microsoft.com/office/drawing/2014/main" id="{42AA3C44-152A-42C6-960F-61E58A809EAA}"/>
            </a:ext>
          </a:extLst>
        </xdr:cNvPr>
        <xdr:cNvSpPr/>
      </xdr:nvSpPr>
      <xdr:spPr>
        <a:xfrm rot="10800000">
          <a:off x="10621817" y="299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587" name="Isosceles Triangle 586">
          <a:extLst>
            <a:ext uri="{FF2B5EF4-FFF2-40B4-BE49-F238E27FC236}">
              <a16:creationId xmlns:a16="http://schemas.microsoft.com/office/drawing/2014/main" id="{F7E0B259-5DCF-41EE-B90D-73233D22FB5D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588" name="Isosceles Triangle 587">
          <a:extLst>
            <a:ext uri="{FF2B5EF4-FFF2-40B4-BE49-F238E27FC236}">
              <a16:creationId xmlns:a16="http://schemas.microsoft.com/office/drawing/2014/main" id="{39A6CB7F-E5EC-49B4-9159-C753EDC3C497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589" name="Isosceles Triangle 588">
          <a:extLst>
            <a:ext uri="{FF2B5EF4-FFF2-40B4-BE49-F238E27FC236}">
              <a16:creationId xmlns:a16="http://schemas.microsoft.com/office/drawing/2014/main" id="{92156FA1-AEAC-4654-BB70-B5D46A8372DD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590" name="Isosceles Triangle 589">
          <a:extLst>
            <a:ext uri="{FF2B5EF4-FFF2-40B4-BE49-F238E27FC236}">
              <a16:creationId xmlns:a16="http://schemas.microsoft.com/office/drawing/2014/main" id="{BCECECC2-CB81-45CF-9E24-C1F231A7CB5D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591" name="Isosceles Triangle 590">
          <a:extLst>
            <a:ext uri="{FF2B5EF4-FFF2-40B4-BE49-F238E27FC236}">
              <a16:creationId xmlns:a16="http://schemas.microsoft.com/office/drawing/2014/main" id="{DCD9D496-3E76-4AAB-AA08-BE72DC638B4E}"/>
            </a:ext>
          </a:extLst>
        </xdr:cNvPr>
        <xdr:cNvSpPr/>
      </xdr:nvSpPr>
      <xdr:spPr>
        <a:xfrm rot="10800000">
          <a:off x="10621817" y="2013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592" name="Isosceles Triangle 591">
          <a:extLst>
            <a:ext uri="{FF2B5EF4-FFF2-40B4-BE49-F238E27FC236}">
              <a16:creationId xmlns:a16="http://schemas.microsoft.com/office/drawing/2014/main" id="{CA0F2382-7BB4-4997-AC9F-049601845371}"/>
            </a:ext>
          </a:extLst>
        </xdr:cNvPr>
        <xdr:cNvSpPr/>
      </xdr:nvSpPr>
      <xdr:spPr>
        <a:xfrm rot="10800000">
          <a:off x="10621817" y="2013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51</xdr:row>
      <xdr:rowOff>196272</xdr:rowOff>
    </xdr:from>
    <xdr:to>
      <xdr:col>8</xdr:col>
      <xdr:colOff>2320636</xdr:colOff>
      <xdr:row>51</xdr:row>
      <xdr:rowOff>346363</xdr:rowOff>
    </xdr:to>
    <xdr:sp macro="" textlink="">
      <xdr:nvSpPr>
        <xdr:cNvPr id="593" name="Isosceles Triangle 592">
          <a:extLst>
            <a:ext uri="{FF2B5EF4-FFF2-40B4-BE49-F238E27FC236}">
              <a16:creationId xmlns:a16="http://schemas.microsoft.com/office/drawing/2014/main" id="{71E7E312-F8EC-4DEC-9E78-CE5FDC441785}"/>
            </a:ext>
          </a:extLst>
        </xdr:cNvPr>
        <xdr:cNvSpPr/>
      </xdr:nvSpPr>
      <xdr:spPr>
        <a:xfrm rot="10800000">
          <a:off x="10621817" y="2699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52</xdr:row>
      <xdr:rowOff>196272</xdr:rowOff>
    </xdr:from>
    <xdr:to>
      <xdr:col>8</xdr:col>
      <xdr:colOff>2320636</xdr:colOff>
      <xdr:row>52</xdr:row>
      <xdr:rowOff>346363</xdr:rowOff>
    </xdr:to>
    <xdr:sp macro="" textlink="">
      <xdr:nvSpPr>
        <xdr:cNvPr id="594" name="Isosceles Triangle 593">
          <a:extLst>
            <a:ext uri="{FF2B5EF4-FFF2-40B4-BE49-F238E27FC236}">
              <a16:creationId xmlns:a16="http://schemas.microsoft.com/office/drawing/2014/main" id="{DB1F9326-766B-4B51-9EE1-53F67AB9D589}"/>
            </a:ext>
          </a:extLst>
        </xdr:cNvPr>
        <xdr:cNvSpPr/>
      </xdr:nvSpPr>
      <xdr:spPr>
        <a:xfrm rot="10800000">
          <a:off x="10621817" y="2756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51</xdr:row>
      <xdr:rowOff>196272</xdr:rowOff>
    </xdr:from>
    <xdr:to>
      <xdr:col>8</xdr:col>
      <xdr:colOff>2320636</xdr:colOff>
      <xdr:row>51</xdr:row>
      <xdr:rowOff>346363</xdr:rowOff>
    </xdr:to>
    <xdr:sp macro="" textlink="">
      <xdr:nvSpPr>
        <xdr:cNvPr id="595" name="Isosceles Triangle 594">
          <a:extLst>
            <a:ext uri="{FF2B5EF4-FFF2-40B4-BE49-F238E27FC236}">
              <a16:creationId xmlns:a16="http://schemas.microsoft.com/office/drawing/2014/main" id="{57C78B46-6143-4735-8138-B0087923453E}"/>
            </a:ext>
          </a:extLst>
        </xdr:cNvPr>
        <xdr:cNvSpPr/>
      </xdr:nvSpPr>
      <xdr:spPr>
        <a:xfrm rot="10800000">
          <a:off x="10621817" y="2699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52</xdr:row>
      <xdr:rowOff>196272</xdr:rowOff>
    </xdr:from>
    <xdr:to>
      <xdr:col>8</xdr:col>
      <xdr:colOff>2320636</xdr:colOff>
      <xdr:row>52</xdr:row>
      <xdr:rowOff>346363</xdr:rowOff>
    </xdr:to>
    <xdr:sp macro="" textlink="">
      <xdr:nvSpPr>
        <xdr:cNvPr id="596" name="Isosceles Triangle 595">
          <a:extLst>
            <a:ext uri="{FF2B5EF4-FFF2-40B4-BE49-F238E27FC236}">
              <a16:creationId xmlns:a16="http://schemas.microsoft.com/office/drawing/2014/main" id="{2FABE25C-3D7E-4282-A72B-609B5E8D73DF}"/>
            </a:ext>
          </a:extLst>
        </xdr:cNvPr>
        <xdr:cNvSpPr/>
      </xdr:nvSpPr>
      <xdr:spPr>
        <a:xfrm rot="10800000">
          <a:off x="10621817" y="2756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68</xdr:row>
      <xdr:rowOff>196272</xdr:rowOff>
    </xdr:from>
    <xdr:to>
      <xdr:col>8</xdr:col>
      <xdr:colOff>2320636</xdr:colOff>
      <xdr:row>68</xdr:row>
      <xdr:rowOff>346363</xdr:rowOff>
    </xdr:to>
    <xdr:sp macro="" textlink="">
      <xdr:nvSpPr>
        <xdr:cNvPr id="597" name="Isosceles Triangle 596">
          <a:extLst>
            <a:ext uri="{FF2B5EF4-FFF2-40B4-BE49-F238E27FC236}">
              <a16:creationId xmlns:a16="http://schemas.microsoft.com/office/drawing/2014/main" id="{B929A162-D764-43F8-833A-2B29C238CD82}"/>
            </a:ext>
          </a:extLst>
        </xdr:cNvPr>
        <xdr:cNvSpPr/>
      </xdr:nvSpPr>
      <xdr:spPr>
        <a:xfrm rot="10800000">
          <a:off x="106218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68</xdr:row>
      <xdr:rowOff>196272</xdr:rowOff>
    </xdr:from>
    <xdr:to>
      <xdr:col>8</xdr:col>
      <xdr:colOff>2320636</xdr:colOff>
      <xdr:row>68</xdr:row>
      <xdr:rowOff>346363</xdr:rowOff>
    </xdr:to>
    <xdr:sp macro="" textlink="">
      <xdr:nvSpPr>
        <xdr:cNvPr id="598" name="Isosceles Triangle 597">
          <a:extLst>
            <a:ext uri="{FF2B5EF4-FFF2-40B4-BE49-F238E27FC236}">
              <a16:creationId xmlns:a16="http://schemas.microsoft.com/office/drawing/2014/main" id="{57B23EFD-4D18-4D85-B41C-B203589494BA}"/>
            </a:ext>
          </a:extLst>
        </xdr:cNvPr>
        <xdr:cNvSpPr/>
      </xdr:nvSpPr>
      <xdr:spPr>
        <a:xfrm rot="10800000">
          <a:off x="106218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69</xdr:row>
      <xdr:rowOff>196272</xdr:rowOff>
    </xdr:from>
    <xdr:to>
      <xdr:col>8</xdr:col>
      <xdr:colOff>2320636</xdr:colOff>
      <xdr:row>69</xdr:row>
      <xdr:rowOff>346363</xdr:rowOff>
    </xdr:to>
    <xdr:sp macro="" textlink="">
      <xdr:nvSpPr>
        <xdr:cNvPr id="599" name="Isosceles Triangle 598">
          <a:extLst>
            <a:ext uri="{FF2B5EF4-FFF2-40B4-BE49-F238E27FC236}">
              <a16:creationId xmlns:a16="http://schemas.microsoft.com/office/drawing/2014/main" id="{66BDD0FC-921B-4DE5-A2D3-EBE15A2C08EE}"/>
            </a:ext>
          </a:extLst>
        </xdr:cNvPr>
        <xdr:cNvSpPr/>
      </xdr:nvSpPr>
      <xdr:spPr>
        <a:xfrm rot="10800000">
          <a:off x="106218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69</xdr:row>
      <xdr:rowOff>196272</xdr:rowOff>
    </xdr:from>
    <xdr:to>
      <xdr:col>8</xdr:col>
      <xdr:colOff>2320636</xdr:colOff>
      <xdr:row>69</xdr:row>
      <xdr:rowOff>346363</xdr:rowOff>
    </xdr:to>
    <xdr:sp macro="" textlink="">
      <xdr:nvSpPr>
        <xdr:cNvPr id="600" name="Isosceles Triangle 599">
          <a:extLst>
            <a:ext uri="{FF2B5EF4-FFF2-40B4-BE49-F238E27FC236}">
              <a16:creationId xmlns:a16="http://schemas.microsoft.com/office/drawing/2014/main" id="{50D19088-3DED-42D7-9075-2285E27033D4}"/>
            </a:ext>
          </a:extLst>
        </xdr:cNvPr>
        <xdr:cNvSpPr/>
      </xdr:nvSpPr>
      <xdr:spPr>
        <a:xfrm rot="10800000">
          <a:off x="106218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70</xdr:row>
      <xdr:rowOff>196272</xdr:rowOff>
    </xdr:from>
    <xdr:to>
      <xdr:col>8</xdr:col>
      <xdr:colOff>2320636</xdr:colOff>
      <xdr:row>70</xdr:row>
      <xdr:rowOff>346363</xdr:rowOff>
    </xdr:to>
    <xdr:sp macro="" textlink="">
      <xdr:nvSpPr>
        <xdr:cNvPr id="601" name="Isosceles Triangle 600">
          <a:extLst>
            <a:ext uri="{FF2B5EF4-FFF2-40B4-BE49-F238E27FC236}">
              <a16:creationId xmlns:a16="http://schemas.microsoft.com/office/drawing/2014/main" id="{C2927AA6-9B35-490A-ADD7-1A0A78BF75AF}"/>
            </a:ext>
          </a:extLst>
        </xdr:cNvPr>
        <xdr:cNvSpPr/>
      </xdr:nvSpPr>
      <xdr:spPr>
        <a:xfrm rot="10800000">
          <a:off x="106218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70</xdr:row>
      <xdr:rowOff>196272</xdr:rowOff>
    </xdr:from>
    <xdr:to>
      <xdr:col>8</xdr:col>
      <xdr:colOff>2320636</xdr:colOff>
      <xdr:row>70</xdr:row>
      <xdr:rowOff>346363</xdr:rowOff>
    </xdr:to>
    <xdr:sp macro="" textlink="">
      <xdr:nvSpPr>
        <xdr:cNvPr id="602" name="Isosceles Triangle 601">
          <a:extLst>
            <a:ext uri="{FF2B5EF4-FFF2-40B4-BE49-F238E27FC236}">
              <a16:creationId xmlns:a16="http://schemas.microsoft.com/office/drawing/2014/main" id="{6C41BB28-D79D-427C-901B-1D4A74F0FEDF}"/>
            </a:ext>
          </a:extLst>
        </xdr:cNvPr>
        <xdr:cNvSpPr/>
      </xdr:nvSpPr>
      <xdr:spPr>
        <a:xfrm rot="10800000">
          <a:off x="106218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69</xdr:row>
      <xdr:rowOff>196272</xdr:rowOff>
    </xdr:from>
    <xdr:to>
      <xdr:col>8</xdr:col>
      <xdr:colOff>2320636</xdr:colOff>
      <xdr:row>69</xdr:row>
      <xdr:rowOff>346363</xdr:rowOff>
    </xdr:to>
    <xdr:sp macro="" textlink="">
      <xdr:nvSpPr>
        <xdr:cNvPr id="603" name="Isosceles Triangle 602">
          <a:extLst>
            <a:ext uri="{FF2B5EF4-FFF2-40B4-BE49-F238E27FC236}">
              <a16:creationId xmlns:a16="http://schemas.microsoft.com/office/drawing/2014/main" id="{6D91C4FF-AE15-4458-B5F6-F2ECADCFDDF4}"/>
            </a:ext>
          </a:extLst>
        </xdr:cNvPr>
        <xdr:cNvSpPr/>
      </xdr:nvSpPr>
      <xdr:spPr>
        <a:xfrm rot="10800000">
          <a:off x="106218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69</xdr:row>
      <xdr:rowOff>196272</xdr:rowOff>
    </xdr:from>
    <xdr:to>
      <xdr:col>8</xdr:col>
      <xdr:colOff>2320636</xdr:colOff>
      <xdr:row>69</xdr:row>
      <xdr:rowOff>346363</xdr:rowOff>
    </xdr:to>
    <xdr:sp macro="" textlink="">
      <xdr:nvSpPr>
        <xdr:cNvPr id="604" name="Isosceles Triangle 603">
          <a:extLst>
            <a:ext uri="{FF2B5EF4-FFF2-40B4-BE49-F238E27FC236}">
              <a16:creationId xmlns:a16="http://schemas.microsoft.com/office/drawing/2014/main" id="{381280D4-D3B6-4ADD-A42C-D76BB0636199}"/>
            </a:ext>
          </a:extLst>
        </xdr:cNvPr>
        <xdr:cNvSpPr/>
      </xdr:nvSpPr>
      <xdr:spPr>
        <a:xfrm rot="10800000">
          <a:off x="106218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69</xdr:row>
      <xdr:rowOff>196272</xdr:rowOff>
    </xdr:from>
    <xdr:to>
      <xdr:col>8</xdr:col>
      <xdr:colOff>2320636</xdr:colOff>
      <xdr:row>69</xdr:row>
      <xdr:rowOff>346363</xdr:rowOff>
    </xdr:to>
    <xdr:sp macro="" textlink="">
      <xdr:nvSpPr>
        <xdr:cNvPr id="605" name="Isosceles Triangle 604">
          <a:extLst>
            <a:ext uri="{FF2B5EF4-FFF2-40B4-BE49-F238E27FC236}">
              <a16:creationId xmlns:a16="http://schemas.microsoft.com/office/drawing/2014/main" id="{FABBB359-9EFC-4B01-B898-21FD6CEEFB20}"/>
            </a:ext>
          </a:extLst>
        </xdr:cNvPr>
        <xdr:cNvSpPr/>
      </xdr:nvSpPr>
      <xdr:spPr>
        <a:xfrm rot="10800000">
          <a:off x="106218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69</xdr:row>
      <xdr:rowOff>196272</xdr:rowOff>
    </xdr:from>
    <xdr:to>
      <xdr:col>8</xdr:col>
      <xdr:colOff>2320636</xdr:colOff>
      <xdr:row>69</xdr:row>
      <xdr:rowOff>346363</xdr:rowOff>
    </xdr:to>
    <xdr:sp macro="" textlink="">
      <xdr:nvSpPr>
        <xdr:cNvPr id="606" name="Isosceles Triangle 605">
          <a:extLst>
            <a:ext uri="{FF2B5EF4-FFF2-40B4-BE49-F238E27FC236}">
              <a16:creationId xmlns:a16="http://schemas.microsoft.com/office/drawing/2014/main" id="{D2192948-13FB-4C92-B47D-CB7F6C17F8A2}"/>
            </a:ext>
          </a:extLst>
        </xdr:cNvPr>
        <xdr:cNvSpPr/>
      </xdr:nvSpPr>
      <xdr:spPr>
        <a:xfrm rot="10800000">
          <a:off x="106218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70</xdr:row>
      <xdr:rowOff>196272</xdr:rowOff>
    </xdr:from>
    <xdr:to>
      <xdr:col>8</xdr:col>
      <xdr:colOff>2320636</xdr:colOff>
      <xdr:row>70</xdr:row>
      <xdr:rowOff>346363</xdr:rowOff>
    </xdr:to>
    <xdr:sp macro="" textlink="">
      <xdr:nvSpPr>
        <xdr:cNvPr id="607" name="Isosceles Triangle 606">
          <a:extLst>
            <a:ext uri="{FF2B5EF4-FFF2-40B4-BE49-F238E27FC236}">
              <a16:creationId xmlns:a16="http://schemas.microsoft.com/office/drawing/2014/main" id="{ADB1F09A-8BB7-4196-ACD2-6BF7A33D1385}"/>
            </a:ext>
          </a:extLst>
        </xdr:cNvPr>
        <xdr:cNvSpPr/>
      </xdr:nvSpPr>
      <xdr:spPr>
        <a:xfrm rot="10800000">
          <a:off x="106218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70</xdr:row>
      <xdr:rowOff>196272</xdr:rowOff>
    </xdr:from>
    <xdr:to>
      <xdr:col>8</xdr:col>
      <xdr:colOff>2320636</xdr:colOff>
      <xdr:row>70</xdr:row>
      <xdr:rowOff>346363</xdr:rowOff>
    </xdr:to>
    <xdr:sp macro="" textlink="">
      <xdr:nvSpPr>
        <xdr:cNvPr id="608" name="Isosceles Triangle 607">
          <a:extLst>
            <a:ext uri="{FF2B5EF4-FFF2-40B4-BE49-F238E27FC236}">
              <a16:creationId xmlns:a16="http://schemas.microsoft.com/office/drawing/2014/main" id="{A385D8B9-1131-42A9-BA2E-565725C79944}"/>
            </a:ext>
          </a:extLst>
        </xdr:cNvPr>
        <xdr:cNvSpPr/>
      </xdr:nvSpPr>
      <xdr:spPr>
        <a:xfrm rot="10800000">
          <a:off x="106218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70</xdr:row>
      <xdr:rowOff>196272</xdr:rowOff>
    </xdr:from>
    <xdr:to>
      <xdr:col>8</xdr:col>
      <xdr:colOff>2320636</xdr:colOff>
      <xdr:row>70</xdr:row>
      <xdr:rowOff>346363</xdr:rowOff>
    </xdr:to>
    <xdr:sp macro="" textlink="">
      <xdr:nvSpPr>
        <xdr:cNvPr id="609" name="Isosceles Triangle 608">
          <a:extLst>
            <a:ext uri="{FF2B5EF4-FFF2-40B4-BE49-F238E27FC236}">
              <a16:creationId xmlns:a16="http://schemas.microsoft.com/office/drawing/2014/main" id="{18A08900-B536-45BF-866A-21434604D7F5}"/>
            </a:ext>
          </a:extLst>
        </xdr:cNvPr>
        <xdr:cNvSpPr/>
      </xdr:nvSpPr>
      <xdr:spPr>
        <a:xfrm rot="10800000">
          <a:off x="106218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70</xdr:row>
      <xdr:rowOff>196272</xdr:rowOff>
    </xdr:from>
    <xdr:to>
      <xdr:col>8</xdr:col>
      <xdr:colOff>2320636</xdr:colOff>
      <xdr:row>70</xdr:row>
      <xdr:rowOff>346363</xdr:rowOff>
    </xdr:to>
    <xdr:sp macro="" textlink="">
      <xdr:nvSpPr>
        <xdr:cNvPr id="610" name="Isosceles Triangle 609">
          <a:extLst>
            <a:ext uri="{FF2B5EF4-FFF2-40B4-BE49-F238E27FC236}">
              <a16:creationId xmlns:a16="http://schemas.microsoft.com/office/drawing/2014/main" id="{72636F1C-876B-4285-8C4B-7F575514CE27}"/>
            </a:ext>
          </a:extLst>
        </xdr:cNvPr>
        <xdr:cNvSpPr/>
      </xdr:nvSpPr>
      <xdr:spPr>
        <a:xfrm rot="10800000">
          <a:off x="106218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611" name="Isosceles Triangle 610">
          <a:extLst>
            <a:ext uri="{FF2B5EF4-FFF2-40B4-BE49-F238E27FC236}">
              <a16:creationId xmlns:a16="http://schemas.microsoft.com/office/drawing/2014/main" id="{03897422-10C2-4DBE-ADC7-D4FC72E615C5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612" name="Isosceles Triangle 611">
          <a:extLst>
            <a:ext uri="{FF2B5EF4-FFF2-40B4-BE49-F238E27FC236}">
              <a16:creationId xmlns:a16="http://schemas.microsoft.com/office/drawing/2014/main" id="{AC057491-5707-4C57-93DA-18F8269EEBCA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93</xdr:row>
      <xdr:rowOff>196272</xdr:rowOff>
    </xdr:from>
    <xdr:to>
      <xdr:col>8</xdr:col>
      <xdr:colOff>2320636</xdr:colOff>
      <xdr:row>93</xdr:row>
      <xdr:rowOff>346363</xdr:rowOff>
    </xdr:to>
    <xdr:sp macro="" textlink="">
      <xdr:nvSpPr>
        <xdr:cNvPr id="613" name="Isosceles Triangle 612">
          <a:extLst>
            <a:ext uri="{FF2B5EF4-FFF2-40B4-BE49-F238E27FC236}">
              <a16:creationId xmlns:a16="http://schemas.microsoft.com/office/drawing/2014/main" id="{F9BF06F6-A5EB-4F04-A601-85144589AD96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93</xdr:row>
      <xdr:rowOff>196272</xdr:rowOff>
    </xdr:from>
    <xdr:to>
      <xdr:col>8</xdr:col>
      <xdr:colOff>2320636</xdr:colOff>
      <xdr:row>93</xdr:row>
      <xdr:rowOff>346363</xdr:rowOff>
    </xdr:to>
    <xdr:sp macro="" textlink="">
      <xdr:nvSpPr>
        <xdr:cNvPr id="614" name="Isosceles Triangle 613">
          <a:extLst>
            <a:ext uri="{FF2B5EF4-FFF2-40B4-BE49-F238E27FC236}">
              <a16:creationId xmlns:a16="http://schemas.microsoft.com/office/drawing/2014/main" id="{EE7DD9FB-38DB-4556-BF6C-164637F06291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94</xdr:row>
      <xdr:rowOff>196272</xdr:rowOff>
    </xdr:from>
    <xdr:to>
      <xdr:col>8</xdr:col>
      <xdr:colOff>2320636</xdr:colOff>
      <xdr:row>94</xdr:row>
      <xdr:rowOff>346363</xdr:rowOff>
    </xdr:to>
    <xdr:sp macro="" textlink="">
      <xdr:nvSpPr>
        <xdr:cNvPr id="615" name="Isosceles Triangle 614">
          <a:extLst>
            <a:ext uri="{FF2B5EF4-FFF2-40B4-BE49-F238E27FC236}">
              <a16:creationId xmlns:a16="http://schemas.microsoft.com/office/drawing/2014/main" id="{F88EDD42-5247-43CD-9963-909A6AB7B53F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94</xdr:row>
      <xdr:rowOff>196272</xdr:rowOff>
    </xdr:from>
    <xdr:to>
      <xdr:col>8</xdr:col>
      <xdr:colOff>2320636</xdr:colOff>
      <xdr:row>94</xdr:row>
      <xdr:rowOff>346363</xdr:rowOff>
    </xdr:to>
    <xdr:sp macro="" textlink="">
      <xdr:nvSpPr>
        <xdr:cNvPr id="616" name="Isosceles Triangle 615">
          <a:extLst>
            <a:ext uri="{FF2B5EF4-FFF2-40B4-BE49-F238E27FC236}">
              <a16:creationId xmlns:a16="http://schemas.microsoft.com/office/drawing/2014/main" id="{EA7614DB-DC67-491F-88A7-C1D8FE5909A9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122</xdr:row>
      <xdr:rowOff>196272</xdr:rowOff>
    </xdr:from>
    <xdr:to>
      <xdr:col>8</xdr:col>
      <xdr:colOff>2320636</xdr:colOff>
      <xdr:row>122</xdr:row>
      <xdr:rowOff>346363</xdr:rowOff>
    </xdr:to>
    <xdr:sp macro="" textlink="">
      <xdr:nvSpPr>
        <xdr:cNvPr id="617" name="Isosceles Triangle 616">
          <a:extLst>
            <a:ext uri="{FF2B5EF4-FFF2-40B4-BE49-F238E27FC236}">
              <a16:creationId xmlns:a16="http://schemas.microsoft.com/office/drawing/2014/main" id="{FD08A7A3-E1F7-4D34-99A5-3FA1DC05B36A}"/>
            </a:ext>
          </a:extLst>
        </xdr:cNvPr>
        <xdr:cNvSpPr/>
      </xdr:nvSpPr>
      <xdr:spPr>
        <a:xfrm rot="10800000">
          <a:off x="10621817" y="6814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122</xdr:row>
      <xdr:rowOff>196272</xdr:rowOff>
    </xdr:from>
    <xdr:to>
      <xdr:col>8</xdr:col>
      <xdr:colOff>2320636</xdr:colOff>
      <xdr:row>122</xdr:row>
      <xdr:rowOff>346363</xdr:rowOff>
    </xdr:to>
    <xdr:sp macro="" textlink="">
      <xdr:nvSpPr>
        <xdr:cNvPr id="618" name="Isosceles Triangle 617">
          <a:extLst>
            <a:ext uri="{FF2B5EF4-FFF2-40B4-BE49-F238E27FC236}">
              <a16:creationId xmlns:a16="http://schemas.microsoft.com/office/drawing/2014/main" id="{ED34D47D-81D0-4EC5-BD18-C05FC7CBB6AB}"/>
            </a:ext>
          </a:extLst>
        </xdr:cNvPr>
        <xdr:cNvSpPr/>
      </xdr:nvSpPr>
      <xdr:spPr>
        <a:xfrm rot="10800000">
          <a:off x="10621817" y="6814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123</xdr:row>
      <xdr:rowOff>196272</xdr:rowOff>
    </xdr:from>
    <xdr:to>
      <xdr:col>8</xdr:col>
      <xdr:colOff>2320636</xdr:colOff>
      <xdr:row>123</xdr:row>
      <xdr:rowOff>346363</xdr:rowOff>
    </xdr:to>
    <xdr:sp macro="" textlink="">
      <xdr:nvSpPr>
        <xdr:cNvPr id="619" name="Isosceles Triangle 618">
          <a:extLst>
            <a:ext uri="{FF2B5EF4-FFF2-40B4-BE49-F238E27FC236}">
              <a16:creationId xmlns:a16="http://schemas.microsoft.com/office/drawing/2014/main" id="{C70449DF-699F-4BED-81E6-CACD4E8F12BD}"/>
            </a:ext>
          </a:extLst>
        </xdr:cNvPr>
        <xdr:cNvSpPr/>
      </xdr:nvSpPr>
      <xdr:spPr>
        <a:xfrm rot="10800000">
          <a:off x="10621817" y="6814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123</xdr:row>
      <xdr:rowOff>196272</xdr:rowOff>
    </xdr:from>
    <xdr:to>
      <xdr:col>8</xdr:col>
      <xdr:colOff>2320636</xdr:colOff>
      <xdr:row>123</xdr:row>
      <xdr:rowOff>346363</xdr:rowOff>
    </xdr:to>
    <xdr:sp macro="" textlink="">
      <xdr:nvSpPr>
        <xdr:cNvPr id="620" name="Isosceles Triangle 619">
          <a:extLst>
            <a:ext uri="{FF2B5EF4-FFF2-40B4-BE49-F238E27FC236}">
              <a16:creationId xmlns:a16="http://schemas.microsoft.com/office/drawing/2014/main" id="{C510B61E-C3B8-4AD1-BB4C-3B2AE4816AE8}"/>
            </a:ext>
          </a:extLst>
        </xdr:cNvPr>
        <xdr:cNvSpPr/>
      </xdr:nvSpPr>
      <xdr:spPr>
        <a:xfrm rot="10800000">
          <a:off x="10621817" y="6814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124</xdr:row>
      <xdr:rowOff>196272</xdr:rowOff>
    </xdr:from>
    <xdr:to>
      <xdr:col>8</xdr:col>
      <xdr:colOff>2320636</xdr:colOff>
      <xdr:row>124</xdr:row>
      <xdr:rowOff>346363</xdr:rowOff>
    </xdr:to>
    <xdr:sp macro="" textlink="">
      <xdr:nvSpPr>
        <xdr:cNvPr id="621" name="Isosceles Triangle 620">
          <a:extLst>
            <a:ext uri="{FF2B5EF4-FFF2-40B4-BE49-F238E27FC236}">
              <a16:creationId xmlns:a16="http://schemas.microsoft.com/office/drawing/2014/main" id="{F683161B-F005-488E-90D6-95DA6821B570}"/>
            </a:ext>
          </a:extLst>
        </xdr:cNvPr>
        <xdr:cNvSpPr/>
      </xdr:nvSpPr>
      <xdr:spPr>
        <a:xfrm rot="10800000">
          <a:off x="10621817" y="6814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124</xdr:row>
      <xdr:rowOff>196272</xdr:rowOff>
    </xdr:from>
    <xdr:to>
      <xdr:col>8</xdr:col>
      <xdr:colOff>2320636</xdr:colOff>
      <xdr:row>124</xdr:row>
      <xdr:rowOff>346363</xdr:rowOff>
    </xdr:to>
    <xdr:sp macro="" textlink="">
      <xdr:nvSpPr>
        <xdr:cNvPr id="622" name="Isosceles Triangle 621">
          <a:extLst>
            <a:ext uri="{FF2B5EF4-FFF2-40B4-BE49-F238E27FC236}">
              <a16:creationId xmlns:a16="http://schemas.microsoft.com/office/drawing/2014/main" id="{8167F820-C9E4-48D0-ABA5-5F8283EA0B0F}"/>
            </a:ext>
          </a:extLst>
        </xdr:cNvPr>
        <xdr:cNvSpPr/>
      </xdr:nvSpPr>
      <xdr:spPr>
        <a:xfrm rot="10800000">
          <a:off x="10621817" y="6814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62</xdr:row>
      <xdr:rowOff>196272</xdr:rowOff>
    </xdr:from>
    <xdr:to>
      <xdr:col>8</xdr:col>
      <xdr:colOff>2320636</xdr:colOff>
      <xdr:row>62</xdr:row>
      <xdr:rowOff>346363</xdr:rowOff>
    </xdr:to>
    <xdr:sp macro="" textlink="">
      <xdr:nvSpPr>
        <xdr:cNvPr id="623" name="Isosceles Triangle 622">
          <a:extLst>
            <a:ext uri="{FF2B5EF4-FFF2-40B4-BE49-F238E27FC236}">
              <a16:creationId xmlns:a16="http://schemas.microsoft.com/office/drawing/2014/main" id="{FD2D5F9D-B9DE-4416-83CB-BC488737B0B4}"/>
            </a:ext>
          </a:extLst>
        </xdr:cNvPr>
        <xdr:cNvSpPr/>
      </xdr:nvSpPr>
      <xdr:spPr>
        <a:xfrm rot="10800000">
          <a:off x="106218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62</xdr:row>
      <xdr:rowOff>196272</xdr:rowOff>
    </xdr:from>
    <xdr:to>
      <xdr:col>8</xdr:col>
      <xdr:colOff>2320636</xdr:colOff>
      <xdr:row>62</xdr:row>
      <xdr:rowOff>346363</xdr:rowOff>
    </xdr:to>
    <xdr:sp macro="" textlink="">
      <xdr:nvSpPr>
        <xdr:cNvPr id="624" name="Isosceles Triangle 623">
          <a:extLst>
            <a:ext uri="{FF2B5EF4-FFF2-40B4-BE49-F238E27FC236}">
              <a16:creationId xmlns:a16="http://schemas.microsoft.com/office/drawing/2014/main" id="{3CDD1878-EA15-468F-A9FD-9738163E8A47}"/>
            </a:ext>
          </a:extLst>
        </xdr:cNvPr>
        <xdr:cNvSpPr/>
      </xdr:nvSpPr>
      <xdr:spPr>
        <a:xfrm rot="10800000">
          <a:off x="106218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63</xdr:row>
      <xdr:rowOff>196272</xdr:rowOff>
    </xdr:from>
    <xdr:to>
      <xdr:col>8</xdr:col>
      <xdr:colOff>2320636</xdr:colOff>
      <xdr:row>63</xdr:row>
      <xdr:rowOff>346363</xdr:rowOff>
    </xdr:to>
    <xdr:sp macro="" textlink="">
      <xdr:nvSpPr>
        <xdr:cNvPr id="625" name="Isosceles Triangle 624">
          <a:extLst>
            <a:ext uri="{FF2B5EF4-FFF2-40B4-BE49-F238E27FC236}">
              <a16:creationId xmlns:a16="http://schemas.microsoft.com/office/drawing/2014/main" id="{CC484CAC-0F9C-4C7C-BA73-A85D39E95F31}"/>
            </a:ext>
          </a:extLst>
        </xdr:cNvPr>
        <xdr:cNvSpPr/>
      </xdr:nvSpPr>
      <xdr:spPr>
        <a:xfrm rot="10800000">
          <a:off x="106218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63</xdr:row>
      <xdr:rowOff>196272</xdr:rowOff>
    </xdr:from>
    <xdr:to>
      <xdr:col>8</xdr:col>
      <xdr:colOff>2320636</xdr:colOff>
      <xdr:row>63</xdr:row>
      <xdr:rowOff>346363</xdr:rowOff>
    </xdr:to>
    <xdr:sp macro="" textlink="">
      <xdr:nvSpPr>
        <xdr:cNvPr id="626" name="Isosceles Triangle 625">
          <a:extLst>
            <a:ext uri="{FF2B5EF4-FFF2-40B4-BE49-F238E27FC236}">
              <a16:creationId xmlns:a16="http://schemas.microsoft.com/office/drawing/2014/main" id="{50C25CC2-F217-44DA-B95A-757E50F067D4}"/>
            </a:ext>
          </a:extLst>
        </xdr:cNvPr>
        <xdr:cNvSpPr/>
      </xdr:nvSpPr>
      <xdr:spPr>
        <a:xfrm rot="10800000">
          <a:off x="106218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64</xdr:row>
      <xdr:rowOff>196272</xdr:rowOff>
    </xdr:from>
    <xdr:to>
      <xdr:col>8</xdr:col>
      <xdr:colOff>2320636</xdr:colOff>
      <xdr:row>64</xdr:row>
      <xdr:rowOff>346363</xdr:rowOff>
    </xdr:to>
    <xdr:sp macro="" textlink="">
      <xdr:nvSpPr>
        <xdr:cNvPr id="627" name="Isosceles Triangle 626">
          <a:extLst>
            <a:ext uri="{FF2B5EF4-FFF2-40B4-BE49-F238E27FC236}">
              <a16:creationId xmlns:a16="http://schemas.microsoft.com/office/drawing/2014/main" id="{69D4B7F4-D9DA-4432-BF27-56CA9D2A9BEB}"/>
            </a:ext>
          </a:extLst>
        </xdr:cNvPr>
        <xdr:cNvSpPr/>
      </xdr:nvSpPr>
      <xdr:spPr>
        <a:xfrm rot="10800000">
          <a:off x="106218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64</xdr:row>
      <xdr:rowOff>196272</xdr:rowOff>
    </xdr:from>
    <xdr:to>
      <xdr:col>8</xdr:col>
      <xdr:colOff>2320636</xdr:colOff>
      <xdr:row>64</xdr:row>
      <xdr:rowOff>346363</xdr:rowOff>
    </xdr:to>
    <xdr:sp macro="" textlink="">
      <xdr:nvSpPr>
        <xdr:cNvPr id="628" name="Isosceles Triangle 627">
          <a:extLst>
            <a:ext uri="{FF2B5EF4-FFF2-40B4-BE49-F238E27FC236}">
              <a16:creationId xmlns:a16="http://schemas.microsoft.com/office/drawing/2014/main" id="{00AFE3A6-5EA8-4DAB-BA19-0E2DE623CC0D}"/>
            </a:ext>
          </a:extLst>
        </xdr:cNvPr>
        <xdr:cNvSpPr/>
      </xdr:nvSpPr>
      <xdr:spPr>
        <a:xfrm rot="10800000">
          <a:off x="106218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98</xdr:row>
      <xdr:rowOff>196272</xdr:rowOff>
    </xdr:from>
    <xdr:to>
      <xdr:col>8</xdr:col>
      <xdr:colOff>2320636</xdr:colOff>
      <xdr:row>98</xdr:row>
      <xdr:rowOff>346363</xdr:rowOff>
    </xdr:to>
    <xdr:sp macro="" textlink="">
      <xdr:nvSpPr>
        <xdr:cNvPr id="629" name="Isosceles Triangle 628">
          <a:extLst>
            <a:ext uri="{FF2B5EF4-FFF2-40B4-BE49-F238E27FC236}">
              <a16:creationId xmlns:a16="http://schemas.microsoft.com/office/drawing/2014/main" id="{BEDF9877-34D9-4612-A5B8-A4FF7080B887}"/>
            </a:ext>
          </a:extLst>
        </xdr:cNvPr>
        <xdr:cNvSpPr/>
      </xdr:nvSpPr>
      <xdr:spPr>
        <a:xfrm rot="10800000">
          <a:off x="10621817" y="5442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99</xdr:row>
      <xdr:rowOff>196272</xdr:rowOff>
    </xdr:from>
    <xdr:to>
      <xdr:col>8</xdr:col>
      <xdr:colOff>2320636</xdr:colOff>
      <xdr:row>99</xdr:row>
      <xdr:rowOff>346363</xdr:rowOff>
    </xdr:to>
    <xdr:sp macro="" textlink="">
      <xdr:nvSpPr>
        <xdr:cNvPr id="630" name="Isosceles Triangle 629">
          <a:extLst>
            <a:ext uri="{FF2B5EF4-FFF2-40B4-BE49-F238E27FC236}">
              <a16:creationId xmlns:a16="http://schemas.microsoft.com/office/drawing/2014/main" id="{92B37F27-2453-44CC-889C-563F357CBCE3}"/>
            </a:ext>
          </a:extLst>
        </xdr:cNvPr>
        <xdr:cNvSpPr/>
      </xdr:nvSpPr>
      <xdr:spPr>
        <a:xfrm rot="10800000">
          <a:off x="10621817" y="5442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100</xdr:row>
      <xdr:rowOff>196272</xdr:rowOff>
    </xdr:from>
    <xdr:to>
      <xdr:col>8</xdr:col>
      <xdr:colOff>2320636</xdr:colOff>
      <xdr:row>100</xdr:row>
      <xdr:rowOff>346363</xdr:rowOff>
    </xdr:to>
    <xdr:sp macro="" textlink="">
      <xdr:nvSpPr>
        <xdr:cNvPr id="631" name="Isosceles Triangle 630">
          <a:extLst>
            <a:ext uri="{FF2B5EF4-FFF2-40B4-BE49-F238E27FC236}">
              <a16:creationId xmlns:a16="http://schemas.microsoft.com/office/drawing/2014/main" id="{93E5872E-0B1C-4C20-B35E-2AEA83BA34E0}"/>
            </a:ext>
          </a:extLst>
        </xdr:cNvPr>
        <xdr:cNvSpPr/>
      </xdr:nvSpPr>
      <xdr:spPr>
        <a:xfrm rot="10800000">
          <a:off x="106218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100</xdr:row>
      <xdr:rowOff>196272</xdr:rowOff>
    </xdr:from>
    <xdr:to>
      <xdr:col>8</xdr:col>
      <xdr:colOff>2320636</xdr:colOff>
      <xdr:row>100</xdr:row>
      <xdr:rowOff>346363</xdr:rowOff>
    </xdr:to>
    <xdr:sp macro="" textlink="">
      <xdr:nvSpPr>
        <xdr:cNvPr id="632" name="Isosceles Triangle 631">
          <a:extLst>
            <a:ext uri="{FF2B5EF4-FFF2-40B4-BE49-F238E27FC236}">
              <a16:creationId xmlns:a16="http://schemas.microsoft.com/office/drawing/2014/main" id="{76CF977E-D207-4FFC-9958-12688D3054EF}"/>
            </a:ext>
          </a:extLst>
        </xdr:cNvPr>
        <xdr:cNvSpPr/>
      </xdr:nvSpPr>
      <xdr:spPr>
        <a:xfrm rot="10800000">
          <a:off x="106218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44</xdr:row>
      <xdr:rowOff>196272</xdr:rowOff>
    </xdr:from>
    <xdr:to>
      <xdr:col>10</xdr:col>
      <xdr:colOff>2320636</xdr:colOff>
      <xdr:row>44</xdr:row>
      <xdr:rowOff>346363</xdr:rowOff>
    </xdr:to>
    <xdr:sp macro="" textlink="">
      <xdr:nvSpPr>
        <xdr:cNvPr id="633" name="Isosceles Triangle 632">
          <a:extLst>
            <a:ext uri="{FF2B5EF4-FFF2-40B4-BE49-F238E27FC236}">
              <a16:creationId xmlns:a16="http://schemas.microsoft.com/office/drawing/2014/main" id="{53C5B524-C62E-4B92-8E9B-8F9AE2ED4458}"/>
            </a:ext>
          </a:extLst>
        </xdr:cNvPr>
        <xdr:cNvSpPr/>
      </xdr:nvSpPr>
      <xdr:spPr>
        <a:xfrm rot="10800000">
          <a:off x="14088917" y="2356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45</xdr:row>
      <xdr:rowOff>196272</xdr:rowOff>
    </xdr:from>
    <xdr:to>
      <xdr:col>10</xdr:col>
      <xdr:colOff>2320636</xdr:colOff>
      <xdr:row>45</xdr:row>
      <xdr:rowOff>346363</xdr:rowOff>
    </xdr:to>
    <xdr:sp macro="" textlink="">
      <xdr:nvSpPr>
        <xdr:cNvPr id="634" name="Isosceles Triangle 633">
          <a:extLst>
            <a:ext uri="{FF2B5EF4-FFF2-40B4-BE49-F238E27FC236}">
              <a16:creationId xmlns:a16="http://schemas.microsoft.com/office/drawing/2014/main" id="{1188D80E-5834-42B9-8575-4C85B67E8066}"/>
            </a:ext>
          </a:extLst>
        </xdr:cNvPr>
        <xdr:cNvSpPr/>
      </xdr:nvSpPr>
      <xdr:spPr>
        <a:xfrm rot="10800000">
          <a:off x="14088917" y="2356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46</xdr:row>
      <xdr:rowOff>196272</xdr:rowOff>
    </xdr:from>
    <xdr:to>
      <xdr:col>10</xdr:col>
      <xdr:colOff>2320636</xdr:colOff>
      <xdr:row>46</xdr:row>
      <xdr:rowOff>346363</xdr:rowOff>
    </xdr:to>
    <xdr:sp macro="" textlink="">
      <xdr:nvSpPr>
        <xdr:cNvPr id="635" name="Isosceles Triangle 634">
          <a:extLst>
            <a:ext uri="{FF2B5EF4-FFF2-40B4-BE49-F238E27FC236}">
              <a16:creationId xmlns:a16="http://schemas.microsoft.com/office/drawing/2014/main" id="{2552081D-6E9A-4D4A-AAB2-7829407B6092}"/>
            </a:ext>
          </a:extLst>
        </xdr:cNvPr>
        <xdr:cNvSpPr/>
      </xdr:nvSpPr>
      <xdr:spPr>
        <a:xfrm rot="10800000">
          <a:off x="14088917" y="2356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636" name="Isosceles Triangle 635">
          <a:extLst>
            <a:ext uri="{FF2B5EF4-FFF2-40B4-BE49-F238E27FC236}">
              <a16:creationId xmlns:a16="http://schemas.microsoft.com/office/drawing/2014/main" id="{161B05B7-7C53-4479-A096-1AEF0731C5B0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637" name="Isosceles Triangle 636">
          <a:extLst>
            <a:ext uri="{FF2B5EF4-FFF2-40B4-BE49-F238E27FC236}">
              <a16:creationId xmlns:a16="http://schemas.microsoft.com/office/drawing/2014/main" id="{6316F6A7-31D1-41E3-AC5F-18B7CEC8F8C7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638" name="Isosceles Triangle 637">
          <a:extLst>
            <a:ext uri="{FF2B5EF4-FFF2-40B4-BE49-F238E27FC236}">
              <a16:creationId xmlns:a16="http://schemas.microsoft.com/office/drawing/2014/main" id="{21E21743-2C82-403D-B92F-5390CE2E2075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639" name="Isosceles Triangle 638">
          <a:extLst>
            <a:ext uri="{FF2B5EF4-FFF2-40B4-BE49-F238E27FC236}">
              <a16:creationId xmlns:a16="http://schemas.microsoft.com/office/drawing/2014/main" id="{FED4050D-C619-445E-8894-8D35135B8AE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640" name="Isosceles Triangle 639">
          <a:extLst>
            <a:ext uri="{FF2B5EF4-FFF2-40B4-BE49-F238E27FC236}">
              <a16:creationId xmlns:a16="http://schemas.microsoft.com/office/drawing/2014/main" id="{1FA727F3-60B5-4E67-950C-E425F12B871C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641" name="Isosceles Triangle 640">
          <a:extLst>
            <a:ext uri="{FF2B5EF4-FFF2-40B4-BE49-F238E27FC236}">
              <a16:creationId xmlns:a16="http://schemas.microsoft.com/office/drawing/2014/main" id="{1F389313-0AFA-4DDD-A692-2F2FBE878CA4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44</xdr:row>
      <xdr:rowOff>196272</xdr:rowOff>
    </xdr:from>
    <xdr:to>
      <xdr:col>10</xdr:col>
      <xdr:colOff>2320636</xdr:colOff>
      <xdr:row>44</xdr:row>
      <xdr:rowOff>346363</xdr:rowOff>
    </xdr:to>
    <xdr:sp macro="" textlink="">
      <xdr:nvSpPr>
        <xdr:cNvPr id="642" name="Isosceles Triangle 641">
          <a:extLst>
            <a:ext uri="{FF2B5EF4-FFF2-40B4-BE49-F238E27FC236}">
              <a16:creationId xmlns:a16="http://schemas.microsoft.com/office/drawing/2014/main" id="{B2750E3E-2896-4A59-B5F4-C27C82A927E6}"/>
            </a:ext>
          </a:extLst>
        </xdr:cNvPr>
        <xdr:cNvSpPr/>
      </xdr:nvSpPr>
      <xdr:spPr>
        <a:xfrm rot="10800000">
          <a:off x="14088917" y="2356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45</xdr:row>
      <xdr:rowOff>196272</xdr:rowOff>
    </xdr:from>
    <xdr:to>
      <xdr:col>10</xdr:col>
      <xdr:colOff>2320636</xdr:colOff>
      <xdr:row>45</xdr:row>
      <xdr:rowOff>346363</xdr:rowOff>
    </xdr:to>
    <xdr:sp macro="" textlink="">
      <xdr:nvSpPr>
        <xdr:cNvPr id="643" name="Isosceles Triangle 642">
          <a:extLst>
            <a:ext uri="{FF2B5EF4-FFF2-40B4-BE49-F238E27FC236}">
              <a16:creationId xmlns:a16="http://schemas.microsoft.com/office/drawing/2014/main" id="{BD5FC2EE-134A-4CC8-A4CA-D7EE0771CADC}"/>
            </a:ext>
          </a:extLst>
        </xdr:cNvPr>
        <xdr:cNvSpPr/>
      </xdr:nvSpPr>
      <xdr:spPr>
        <a:xfrm rot="10800000">
          <a:off x="14088917" y="2356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46</xdr:row>
      <xdr:rowOff>196272</xdr:rowOff>
    </xdr:from>
    <xdr:to>
      <xdr:col>10</xdr:col>
      <xdr:colOff>2320636</xdr:colOff>
      <xdr:row>46</xdr:row>
      <xdr:rowOff>346363</xdr:rowOff>
    </xdr:to>
    <xdr:sp macro="" textlink="">
      <xdr:nvSpPr>
        <xdr:cNvPr id="644" name="Isosceles Triangle 643">
          <a:extLst>
            <a:ext uri="{FF2B5EF4-FFF2-40B4-BE49-F238E27FC236}">
              <a16:creationId xmlns:a16="http://schemas.microsoft.com/office/drawing/2014/main" id="{E93563B9-B641-4A49-BB86-4D7C0A1308C7}"/>
            </a:ext>
          </a:extLst>
        </xdr:cNvPr>
        <xdr:cNvSpPr/>
      </xdr:nvSpPr>
      <xdr:spPr>
        <a:xfrm rot="10800000">
          <a:off x="14088917" y="2356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56</xdr:row>
      <xdr:rowOff>196272</xdr:rowOff>
    </xdr:from>
    <xdr:to>
      <xdr:col>8</xdr:col>
      <xdr:colOff>2320636</xdr:colOff>
      <xdr:row>56</xdr:row>
      <xdr:rowOff>346363</xdr:rowOff>
    </xdr:to>
    <xdr:sp macro="" textlink="">
      <xdr:nvSpPr>
        <xdr:cNvPr id="645" name="Isosceles Triangle 644">
          <a:extLst>
            <a:ext uri="{FF2B5EF4-FFF2-40B4-BE49-F238E27FC236}">
              <a16:creationId xmlns:a16="http://schemas.microsoft.com/office/drawing/2014/main" id="{4F299189-9849-4A54-9A57-3A99712C9897}"/>
            </a:ext>
          </a:extLst>
        </xdr:cNvPr>
        <xdr:cNvSpPr/>
      </xdr:nvSpPr>
      <xdr:spPr>
        <a:xfrm rot="10800000">
          <a:off x="106218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56</xdr:row>
      <xdr:rowOff>196272</xdr:rowOff>
    </xdr:from>
    <xdr:to>
      <xdr:col>8</xdr:col>
      <xdr:colOff>2320636</xdr:colOff>
      <xdr:row>56</xdr:row>
      <xdr:rowOff>346363</xdr:rowOff>
    </xdr:to>
    <xdr:sp macro="" textlink="">
      <xdr:nvSpPr>
        <xdr:cNvPr id="646" name="Isosceles Triangle 645">
          <a:extLst>
            <a:ext uri="{FF2B5EF4-FFF2-40B4-BE49-F238E27FC236}">
              <a16:creationId xmlns:a16="http://schemas.microsoft.com/office/drawing/2014/main" id="{AC55722E-61D9-4D9F-B919-578D4C462D5E}"/>
            </a:ext>
          </a:extLst>
        </xdr:cNvPr>
        <xdr:cNvSpPr/>
      </xdr:nvSpPr>
      <xdr:spPr>
        <a:xfrm rot="10800000">
          <a:off x="106218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57</xdr:row>
      <xdr:rowOff>196272</xdr:rowOff>
    </xdr:from>
    <xdr:to>
      <xdr:col>8</xdr:col>
      <xdr:colOff>2320636</xdr:colOff>
      <xdr:row>57</xdr:row>
      <xdr:rowOff>346363</xdr:rowOff>
    </xdr:to>
    <xdr:sp macro="" textlink="">
      <xdr:nvSpPr>
        <xdr:cNvPr id="647" name="Isosceles Triangle 646">
          <a:extLst>
            <a:ext uri="{FF2B5EF4-FFF2-40B4-BE49-F238E27FC236}">
              <a16:creationId xmlns:a16="http://schemas.microsoft.com/office/drawing/2014/main" id="{340F01CC-DED5-4970-99F7-BD941EA10DEE}"/>
            </a:ext>
          </a:extLst>
        </xdr:cNvPr>
        <xdr:cNvSpPr/>
      </xdr:nvSpPr>
      <xdr:spPr>
        <a:xfrm rot="10800000">
          <a:off x="106218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57</xdr:row>
      <xdr:rowOff>196272</xdr:rowOff>
    </xdr:from>
    <xdr:to>
      <xdr:col>8</xdr:col>
      <xdr:colOff>2320636</xdr:colOff>
      <xdr:row>57</xdr:row>
      <xdr:rowOff>346363</xdr:rowOff>
    </xdr:to>
    <xdr:sp macro="" textlink="">
      <xdr:nvSpPr>
        <xdr:cNvPr id="648" name="Isosceles Triangle 647">
          <a:extLst>
            <a:ext uri="{FF2B5EF4-FFF2-40B4-BE49-F238E27FC236}">
              <a16:creationId xmlns:a16="http://schemas.microsoft.com/office/drawing/2014/main" id="{C01163B4-45B8-4D21-8CB8-A786BBD23579}"/>
            </a:ext>
          </a:extLst>
        </xdr:cNvPr>
        <xdr:cNvSpPr/>
      </xdr:nvSpPr>
      <xdr:spPr>
        <a:xfrm rot="10800000">
          <a:off x="106218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58</xdr:row>
      <xdr:rowOff>196272</xdr:rowOff>
    </xdr:from>
    <xdr:to>
      <xdr:col>8</xdr:col>
      <xdr:colOff>2320636</xdr:colOff>
      <xdr:row>58</xdr:row>
      <xdr:rowOff>346363</xdr:rowOff>
    </xdr:to>
    <xdr:sp macro="" textlink="">
      <xdr:nvSpPr>
        <xdr:cNvPr id="649" name="Isosceles Triangle 648">
          <a:extLst>
            <a:ext uri="{FF2B5EF4-FFF2-40B4-BE49-F238E27FC236}">
              <a16:creationId xmlns:a16="http://schemas.microsoft.com/office/drawing/2014/main" id="{7F017EBA-D5BC-4CFA-BD53-01BAD8FB972B}"/>
            </a:ext>
          </a:extLst>
        </xdr:cNvPr>
        <xdr:cNvSpPr/>
      </xdr:nvSpPr>
      <xdr:spPr>
        <a:xfrm rot="10800000">
          <a:off x="106218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58</xdr:row>
      <xdr:rowOff>196272</xdr:rowOff>
    </xdr:from>
    <xdr:to>
      <xdr:col>8</xdr:col>
      <xdr:colOff>2320636</xdr:colOff>
      <xdr:row>58</xdr:row>
      <xdr:rowOff>346363</xdr:rowOff>
    </xdr:to>
    <xdr:sp macro="" textlink="">
      <xdr:nvSpPr>
        <xdr:cNvPr id="650" name="Isosceles Triangle 649">
          <a:extLst>
            <a:ext uri="{FF2B5EF4-FFF2-40B4-BE49-F238E27FC236}">
              <a16:creationId xmlns:a16="http://schemas.microsoft.com/office/drawing/2014/main" id="{A758E1DD-E153-4F85-99E9-D54391D73A7A}"/>
            </a:ext>
          </a:extLst>
        </xdr:cNvPr>
        <xdr:cNvSpPr/>
      </xdr:nvSpPr>
      <xdr:spPr>
        <a:xfrm rot="10800000">
          <a:off x="106218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50</xdr:row>
      <xdr:rowOff>196272</xdr:rowOff>
    </xdr:from>
    <xdr:to>
      <xdr:col>10</xdr:col>
      <xdr:colOff>2320636</xdr:colOff>
      <xdr:row>50</xdr:row>
      <xdr:rowOff>346363</xdr:rowOff>
    </xdr:to>
    <xdr:sp macro="" textlink="">
      <xdr:nvSpPr>
        <xdr:cNvPr id="651" name="Isosceles Triangle 650">
          <a:extLst>
            <a:ext uri="{FF2B5EF4-FFF2-40B4-BE49-F238E27FC236}">
              <a16:creationId xmlns:a16="http://schemas.microsoft.com/office/drawing/2014/main" id="{28EE91A7-D476-4146-9F7A-ED2643B07E70}"/>
            </a:ext>
          </a:extLst>
        </xdr:cNvPr>
        <xdr:cNvSpPr/>
      </xdr:nvSpPr>
      <xdr:spPr>
        <a:xfrm rot="10800000">
          <a:off x="14088917" y="2699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51</xdr:row>
      <xdr:rowOff>196272</xdr:rowOff>
    </xdr:from>
    <xdr:to>
      <xdr:col>10</xdr:col>
      <xdr:colOff>2320636</xdr:colOff>
      <xdr:row>51</xdr:row>
      <xdr:rowOff>346363</xdr:rowOff>
    </xdr:to>
    <xdr:sp macro="" textlink="">
      <xdr:nvSpPr>
        <xdr:cNvPr id="652" name="Isosceles Triangle 651">
          <a:extLst>
            <a:ext uri="{FF2B5EF4-FFF2-40B4-BE49-F238E27FC236}">
              <a16:creationId xmlns:a16="http://schemas.microsoft.com/office/drawing/2014/main" id="{37A58095-8B03-46EC-9A0F-4EA06A7CCA03}"/>
            </a:ext>
          </a:extLst>
        </xdr:cNvPr>
        <xdr:cNvSpPr/>
      </xdr:nvSpPr>
      <xdr:spPr>
        <a:xfrm rot="10800000">
          <a:off x="14088917" y="2699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52</xdr:row>
      <xdr:rowOff>196272</xdr:rowOff>
    </xdr:from>
    <xdr:to>
      <xdr:col>10</xdr:col>
      <xdr:colOff>2320636</xdr:colOff>
      <xdr:row>52</xdr:row>
      <xdr:rowOff>346363</xdr:rowOff>
    </xdr:to>
    <xdr:sp macro="" textlink="">
      <xdr:nvSpPr>
        <xdr:cNvPr id="653" name="Isosceles Triangle 652">
          <a:extLst>
            <a:ext uri="{FF2B5EF4-FFF2-40B4-BE49-F238E27FC236}">
              <a16:creationId xmlns:a16="http://schemas.microsoft.com/office/drawing/2014/main" id="{05F73DD2-228C-4264-A450-352260F45B34}"/>
            </a:ext>
          </a:extLst>
        </xdr:cNvPr>
        <xdr:cNvSpPr/>
      </xdr:nvSpPr>
      <xdr:spPr>
        <a:xfrm rot="10800000">
          <a:off x="14088917" y="2699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654" name="Isosceles Triangle 653">
          <a:extLst>
            <a:ext uri="{FF2B5EF4-FFF2-40B4-BE49-F238E27FC236}">
              <a16:creationId xmlns:a16="http://schemas.microsoft.com/office/drawing/2014/main" id="{39915F8D-1CBE-4385-83EC-EE8F403863D6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655" name="Isosceles Triangle 654">
          <a:extLst>
            <a:ext uri="{FF2B5EF4-FFF2-40B4-BE49-F238E27FC236}">
              <a16:creationId xmlns:a16="http://schemas.microsoft.com/office/drawing/2014/main" id="{1466C514-860D-4CD3-929B-CB02854D2E1E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656" name="Isosceles Triangle 655">
          <a:extLst>
            <a:ext uri="{FF2B5EF4-FFF2-40B4-BE49-F238E27FC236}">
              <a16:creationId xmlns:a16="http://schemas.microsoft.com/office/drawing/2014/main" id="{E04E9608-2D6A-4C94-B0B8-42A5A05E9A9C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657" name="Isosceles Triangle 656">
          <a:extLst>
            <a:ext uri="{FF2B5EF4-FFF2-40B4-BE49-F238E27FC236}">
              <a16:creationId xmlns:a16="http://schemas.microsoft.com/office/drawing/2014/main" id="{07244050-EFFE-44CF-B9BD-B52AE53DE88F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658" name="Isosceles Triangle 657">
          <a:extLst>
            <a:ext uri="{FF2B5EF4-FFF2-40B4-BE49-F238E27FC236}">
              <a16:creationId xmlns:a16="http://schemas.microsoft.com/office/drawing/2014/main" id="{5240E55E-39A8-454A-95B4-58560D48AF6C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659" name="Isosceles Triangle 658">
          <a:extLst>
            <a:ext uri="{FF2B5EF4-FFF2-40B4-BE49-F238E27FC236}">
              <a16:creationId xmlns:a16="http://schemas.microsoft.com/office/drawing/2014/main" id="{96AD49FD-8B58-4934-8923-15C80AE7B6A0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660" name="Isosceles Triangle 659">
          <a:extLst>
            <a:ext uri="{FF2B5EF4-FFF2-40B4-BE49-F238E27FC236}">
              <a16:creationId xmlns:a16="http://schemas.microsoft.com/office/drawing/2014/main" id="{B4B13079-C9B9-400F-A072-F2A16DCECBA1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661" name="Isosceles Triangle 660">
          <a:extLst>
            <a:ext uri="{FF2B5EF4-FFF2-40B4-BE49-F238E27FC236}">
              <a16:creationId xmlns:a16="http://schemas.microsoft.com/office/drawing/2014/main" id="{E0E6AC38-34F0-45B8-B3D2-ECD8E3A2C831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662" name="Isosceles Triangle 661">
          <a:extLst>
            <a:ext uri="{FF2B5EF4-FFF2-40B4-BE49-F238E27FC236}">
              <a16:creationId xmlns:a16="http://schemas.microsoft.com/office/drawing/2014/main" id="{EF2D54E1-4939-4BB0-AF73-C865145B4FF7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663" name="Isosceles Triangle 662">
          <a:extLst>
            <a:ext uri="{FF2B5EF4-FFF2-40B4-BE49-F238E27FC236}">
              <a16:creationId xmlns:a16="http://schemas.microsoft.com/office/drawing/2014/main" id="{4000A35E-4D27-4DB2-87F8-703BEA4F4092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664" name="Isosceles Triangle 663">
          <a:extLst>
            <a:ext uri="{FF2B5EF4-FFF2-40B4-BE49-F238E27FC236}">
              <a16:creationId xmlns:a16="http://schemas.microsoft.com/office/drawing/2014/main" id="{0185D3F2-8A89-45C0-B5DC-974C88521B78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665" name="Isosceles Triangle 664">
          <a:extLst>
            <a:ext uri="{FF2B5EF4-FFF2-40B4-BE49-F238E27FC236}">
              <a16:creationId xmlns:a16="http://schemas.microsoft.com/office/drawing/2014/main" id="{EBF99C02-5205-4079-BFF3-D8E9FC03029D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56</xdr:row>
      <xdr:rowOff>196272</xdr:rowOff>
    </xdr:from>
    <xdr:to>
      <xdr:col>10</xdr:col>
      <xdr:colOff>2320636</xdr:colOff>
      <xdr:row>56</xdr:row>
      <xdr:rowOff>346363</xdr:rowOff>
    </xdr:to>
    <xdr:sp macro="" textlink="">
      <xdr:nvSpPr>
        <xdr:cNvPr id="666" name="Isosceles Triangle 665">
          <a:extLst>
            <a:ext uri="{FF2B5EF4-FFF2-40B4-BE49-F238E27FC236}">
              <a16:creationId xmlns:a16="http://schemas.microsoft.com/office/drawing/2014/main" id="{D876C51B-FA49-4F96-9A74-68815A73006B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57</xdr:row>
      <xdr:rowOff>196272</xdr:rowOff>
    </xdr:from>
    <xdr:to>
      <xdr:col>10</xdr:col>
      <xdr:colOff>2320636</xdr:colOff>
      <xdr:row>57</xdr:row>
      <xdr:rowOff>346363</xdr:rowOff>
    </xdr:to>
    <xdr:sp macro="" textlink="">
      <xdr:nvSpPr>
        <xdr:cNvPr id="667" name="Isosceles Triangle 666">
          <a:extLst>
            <a:ext uri="{FF2B5EF4-FFF2-40B4-BE49-F238E27FC236}">
              <a16:creationId xmlns:a16="http://schemas.microsoft.com/office/drawing/2014/main" id="{2B9635DE-A2F5-4363-8E85-EDCBFD79A49F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668" name="Isosceles Triangle 667">
          <a:extLst>
            <a:ext uri="{FF2B5EF4-FFF2-40B4-BE49-F238E27FC236}">
              <a16:creationId xmlns:a16="http://schemas.microsoft.com/office/drawing/2014/main" id="{69B8F829-7005-4CFF-A77B-360ACF2A528C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669" name="Isosceles Triangle 668">
          <a:extLst>
            <a:ext uri="{FF2B5EF4-FFF2-40B4-BE49-F238E27FC236}">
              <a16:creationId xmlns:a16="http://schemas.microsoft.com/office/drawing/2014/main" id="{BAB902D1-22D7-4155-9B90-C439E7DB82CC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670" name="Isosceles Triangle 669">
          <a:extLst>
            <a:ext uri="{FF2B5EF4-FFF2-40B4-BE49-F238E27FC236}">
              <a16:creationId xmlns:a16="http://schemas.microsoft.com/office/drawing/2014/main" id="{A35509BD-06F7-4F99-A1FF-2DA594AE657C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70</xdr:row>
      <xdr:rowOff>196272</xdr:rowOff>
    </xdr:from>
    <xdr:to>
      <xdr:col>10</xdr:col>
      <xdr:colOff>2320636</xdr:colOff>
      <xdr:row>70</xdr:row>
      <xdr:rowOff>346363</xdr:rowOff>
    </xdr:to>
    <xdr:sp macro="" textlink="">
      <xdr:nvSpPr>
        <xdr:cNvPr id="671" name="Isosceles Triangle 670">
          <a:extLst>
            <a:ext uri="{FF2B5EF4-FFF2-40B4-BE49-F238E27FC236}">
              <a16:creationId xmlns:a16="http://schemas.microsoft.com/office/drawing/2014/main" id="{B82AA2B6-7981-400F-9B2E-532D07994282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33</xdr:row>
      <xdr:rowOff>196272</xdr:rowOff>
    </xdr:from>
    <xdr:to>
      <xdr:col>8</xdr:col>
      <xdr:colOff>2320636</xdr:colOff>
      <xdr:row>33</xdr:row>
      <xdr:rowOff>346363</xdr:rowOff>
    </xdr:to>
    <xdr:sp macro="" textlink="">
      <xdr:nvSpPr>
        <xdr:cNvPr id="672" name="Isosceles Triangle 671">
          <a:extLst>
            <a:ext uri="{FF2B5EF4-FFF2-40B4-BE49-F238E27FC236}">
              <a16:creationId xmlns:a16="http://schemas.microsoft.com/office/drawing/2014/main" id="{5CDC90BE-9F1F-4BF0-8A3B-9B6C0462ED36}"/>
            </a:ext>
          </a:extLst>
        </xdr:cNvPr>
        <xdr:cNvSpPr/>
      </xdr:nvSpPr>
      <xdr:spPr>
        <a:xfrm rot="10800000">
          <a:off x="10621817" y="1670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32</xdr:row>
      <xdr:rowOff>196272</xdr:rowOff>
    </xdr:from>
    <xdr:to>
      <xdr:col>8</xdr:col>
      <xdr:colOff>2320636</xdr:colOff>
      <xdr:row>32</xdr:row>
      <xdr:rowOff>346363</xdr:rowOff>
    </xdr:to>
    <xdr:sp macro="" textlink="">
      <xdr:nvSpPr>
        <xdr:cNvPr id="673" name="Isosceles Triangle 672">
          <a:extLst>
            <a:ext uri="{FF2B5EF4-FFF2-40B4-BE49-F238E27FC236}">
              <a16:creationId xmlns:a16="http://schemas.microsoft.com/office/drawing/2014/main" id="{B569DDA4-CF00-4258-95D8-D14A663A117C}"/>
            </a:ext>
          </a:extLst>
        </xdr:cNvPr>
        <xdr:cNvSpPr/>
      </xdr:nvSpPr>
      <xdr:spPr>
        <a:xfrm rot="10800000">
          <a:off x="10621817" y="17277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34</xdr:row>
      <xdr:rowOff>196272</xdr:rowOff>
    </xdr:from>
    <xdr:to>
      <xdr:col>8</xdr:col>
      <xdr:colOff>2320636</xdr:colOff>
      <xdr:row>34</xdr:row>
      <xdr:rowOff>346363</xdr:rowOff>
    </xdr:to>
    <xdr:sp macro="" textlink="">
      <xdr:nvSpPr>
        <xdr:cNvPr id="674" name="Isosceles Triangle 673">
          <a:extLst>
            <a:ext uri="{FF2B5EF4-FFF2-40B4-BE49-F238E27FC236}">
              <a16:creationId xmlns:a16="http://schemas.microsoft.com/office/drawing/2014/main" id="{EEBAB4D1-2DE2-457A-96F6-A50B94EBF30B}"/>
            </a:ext>
          </a:extLst>
        </xdr:cNvPr>
        <xdr:cNvSpPr/>
      </xdr:nvSpPr>
      <xdr:spPr>
        <a:xfrm rot="10800000">
          <a:off x="10621817" y="17277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34</xdr:row>
      <xdr:rowOff>196272</xdr:rowOff>
    </xdr:from>
    <xdr:to>
      <xdr:col>8</xdr:col>
      <xdr:colOff>2320636</xdr:colOff>
      <xdr:row>34</xdr:row>
      <xdr:rowOff>346363</xdr:rowOff>
    </xdr:to>
    <xdr:sp macro="" textlink="">
      <xdr:nvSpPr>
        <xdr:cNvPr id="675" name="Isosceles Triangle 674">
          <a:extLst>
            <a:ext uri="{FF2B5EF4-FFF2-40B4-BE49-F238E27FC236}">
              <a16:creationId xmlns:a16="http://schemas.microsoft.com/office/drawing/2014/main" id="{FB686AC6-5426-4FF5-A297-1C132F3776BB}"/>
            </a:ext>
          </a:extLst>
        </xdr:cNvPr>
        <xdr:cNvSpPr/>
      </xdr:nvSpPr>
      <xdr:spPr>
        <a:xfrm rot="10800000">
          <a:off x="10621817" y="17277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106</xdr:row>
      <xdr:rowOff>196272</xdr:rowOff>
    </xdr:from>
    <xdr:to>
      <xdr:col>8</xdr:col>
      <xdr:colOff>2320636</xdr:colOff>
      <xdr:row>106</xdr:row>
      <xdr:rowOff>346363</xdr:rowOff>
    </xdr:to>
    <xdr:sp macro="" textlink="">
      <xdr:nvSpPr>
        <xdr:cNvPr id="676" name="Isosceles Triangle 675">
          <a:extLst>
            <a:ext uri="{FF2B5EF4-FFF2-40B4-BE49-F238E27FC236}">
              <a16:creationId xmlns:a16="http://schemas.microsoft.com/office/drawing/2014/main" id="{E8E498AB-3AF9-4DEF-9FB2-9268585BA2A6}"/>
            </a:ext>
          </a:extLst>
        </xdr:cNvPr>
        <xdr:cNvSpPr/>
      </xdr:nvSpPr>
      <xdr:spPr>
        <a:xfrm rot="10800000">
          <a:off x="106218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106</xdr:row>
      <xdr:rowOff>196272</xdr:rowOff>
    </xdr:from>
    <xdr:to>
      <xdr:col>8</xdr:col>
      <xdr:colOff>2320636</xdr:colOff>
      <xdr:row>106</xdr:row>
      <xdr:rowOff>346363</xdr:rowOff>
    </xdr:to>
    <xdr:sp macro="" textlink="">
      <xdr:nvSpPr>
        <xdr:cNvPr id="677" name="Isosceles Triangle 676">
          <a:extLst>
            <a:ext uri="{FF2B5EF4-FFF2-40B4-BE49-F238E27FC236}">
              <a16:creationId xmlns:a16="http://schemas.microsoft.com/office/drawing/2014/main" id="{CAE11DBB-6EBA-4874-AE30-B17A4578841A}"/>
            </a:ext>
          </a:extLst>
        </xdr:cNvPr>
        <xdr:cNvSpPr/>
      </xdr:nvSpPr>
      <xdr:spPr>
        <a:xfrm rot="10800000">
          <a:off x="106218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678" name="Isosceles Triangle 677">
          <a:extLst>
            <a:ext uri="{FF2B5EF4-FFF2-40B4-BE49-F238E27FC236}">
              <a16:creationId xmlns:a16="http://schemas.microsoft.com/office/drawing/2014/main" id="{45A407E9-ED97-4E37-BCC4-A1A4D428218F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679" name="Isosceles Triangle 678">
          <a:extLst>
            <a:ext uri="{FF2B5EF4-FFF2-40B4-BE49-F238E27FC236}">
              <a16:creationId xmlns:a16="http://schemas.microsoft.com/office/drawing/2014/main" id="{1D2CAAB8-DB05-48FA-BA48-C71C2C8A5BC9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680" name="Isosceles Triangle 679">
          <a:extLst>
            <a:ext uri="{FF2B5EF4-FFF2-40B4-BE49-F238E27FC236}">
              <a16:creationId xmlns:a16="http://schemas.microsoft.com/office/drawing/2014/main" id="{39A66C7B-6D8A-41DE-8463-1F3AA6A990C9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681" name="Isosceles Triangle 680">
          <a:extLst>
            <a:ext uri="{FF2B5EF4-FFF2-40B4-BE49-F238E27FC236}">
              <a16:creationId xmlns:a16="http://schemas.microsoft.com/office/drawing/2014/main" id="{5A22292E-8733-4434-8882-5F3861C86154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682" name="Isosceles Triangle 681">
          <a:extLst>
            <a:ext uri="{FF2B5EF4-FFF2-40B4-BE49-F238E27FC236}">
              <a16:creationId xmlns:a16="http://schemas.microsoft.com/office/drawing/2014/main" id="{7F324275-3E9D-47BF-AEB1-355CBFCE1733}"/>
            </a:ext>
          </a:extLst>
        </xdr:cNvPr>
        <xdr:cNvSpPr/>
      </xdr:nvSpPr>
      <xdr:spPr>
        <a:xfrm rot="10800000">
          <a:off x="106218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683" name="Isosceles Triangle 682">
          <a:extLst>
            <a:ext uri="{FF2B5EF4-FFF2-40B4-BE49-F238E27FC236}">
              <a16:creationId xmlns:a16="http://schemas.microsoft.com/office/drawing/2014/main" id="{0F803126-45D4-44D8-8A55-8A86A9599EA2}"/>
            </a:ext>
          </a:extLst>
        </xdr:cNvPr>
        <xdr:cNvSpPr/>
      </xdr:nvSpPr>
      <xdr:spPr>
        <a:xfrm rot="10800000">
          <a:off x="106218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684" name="Isosceles Triangle 683">
          <a:extLst>
            <a:ext uri="{FF2B5EF4-FFF2-40B4-BE49-F238E27FC236}">
              <a16:creationId xmlns:a16="http://schemas.microsoft.com/office/drawing/2014/main" id="{E6630ECD-99F4-4E02-93DE-7B968A1F8117}"/>
            </a:ext>
          </a:extLst>
        </xdr:cNvPr>
        <xdr:cNvSpPr/>
      </xdr:nvSpPr>
      <xdr:spPr>
        <a:xfrm rot="10800000">
          <a:off x="106218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685" name="Isosceles Triangle 684">
          <a:extLst>
            <a:ext uri="{FF2B5EF4-FFF2-40B4-BE49-F238E27FC236}">
              <a16:creationId xmlns:a16="http://schemas.microsoft.com/office/drawing/2014/main" id="{FFA584ED-8901-4C80-8F17-15BB5E277809}"/>
            </a:ext>
          </a:extLst>
        </xdr:cNvPr>
        <xdr:cNvSpPr/>
      </xdr:nvSpPr>
      <xdr:spPr>
        <a:xfrm rot="10800000">
          <a:off x="106218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686" name="Isosceles Triangle 685">
          <a:extLst>
            <a:ext uri="{FF2B5EF4-FFF2-40B4-BE49-F238E27FC236}">
              <a16:creationId xmlns:a16="http://schemas.microsoft.com/office/drawing/2014/main" id="{F4B3E52B-0A74-4B6F-9A38-01C255E800B7}"/>
            </a:ext>
          </a:extLst>
        </xdr:cNvPr>
        <xdr:cNvSpPr/>
      </xdr:nvSpPr>
      <xdr:spPr>
        <a:xfrm rot="10800000">
          <a:off x="106218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687" name="Isosceles Triangle 686">
          <a:extLst>
            <a:ext uri="{FF2B5EF4-FFF2-40B4-BE49-F238E27FC236}">
              <a16:creationId xmlns:a16="http://schemas.microsoft.com/office/drawing/2014/main" id="{ABEDB0A4-E044-4F9C-8098-7A7399BEB6B8}"/>
            </a:ext>
          </a:extLst>
        </xdr:cNvPr>
        <xdr:cNvSpPr/>
      </xdr:nvSpPr>
      <xdr:spPr>
        <a:xfrm rot="10800000">
          <a:off x="106218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688" name="Isosceles Triangle 687">
          <a:extLst>
            <a:ext uri="{FF2B5EF4-FFF2-40B4-BE49-F238E27FC236}">
              <a16:creationId xmlns:a16="http://schemas.microsoft.com/office/drawing/2014/main" id="{1729AF2E-E033-46D8-9C2C-7FF34B02BB29}"/>
            </a:ext>
          </a:extLst>
        </xdr:cNvPr>
        <xdr:cNvSpPr/>
      </xdr:nvSpPr>
      <xdr:spPr>
        <a:xfrm rot="10800000">
          <a:off x="106218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689" name="Isosceles Triangle 688">
          <a:extLst>
            <a:ext uri="{FF2B5EF4-FFF2-40B4-BE49-F238E27FC236}">
              <a16:creationId xmlns:a16="http://schemas.microsoft.com/office/drawing/2014/main" id="{C9B1F147-50E6-435D-ADB3-69251E89C54D}"/>
            </a:ext>
          </a:extLst>
        </xdr:cNvPr>
        <xdr:cNvSpPr/>
      </xdr:nvSpPr>
      <xdr:spPr>
        <a:xfrm rot="10800000">
          <a:off x="106218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690" name="Isosceles Triangle 689">
          <a:extLst>
            <a:ext uri="{FF2B5EF4-FFF2-40B4-BE49-F238E27FC236}">
              <a16:creationId xmlns:a16="http://schemas.microsoft.com/office/drawing/2014/main" id="{AEB0C7E2-2F38-4A0A-A9D7-5BA31EBAEF4D}"/>
            </a:ext>
          </a:extLst>
        </xdr:cNvPr>
        <xdr:cNvSpPr/>
      </xdr:nvSpPr>
      <xdr:spPr>
        <a:xfrm rot="10800000">
          <a:off x="106218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691" name="Isosceles Triangle 690">
          <a:extLst>
            <a:ext uri="{FF2B5EF4-FFF2-40B4-BE49-F238E27FC236}">
              <a16:creationId xmlns:a16="http://schemas.microsoft.com/office/drawing/2014/main" id="{9E945FAF-2864-4164-A548-215E091F46ED}"/>
            </a:ext>
          </a:extLst>
        </xdr:cNvPr>
        <xdr:cNvSpPr/>
      </xdr:nvSpPr>
      <xdr:spPr>
        <a:xfrm rot="10800000">
          <a:off x="106218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692" name="Isosceles Triangle 691">
          <a:extLst>
            <a:ext uri="{FF2B5EF4-FFF2-40B4-BE49-F238E27FC236}">
              <a16:creationId xmlns:a16="http://schemas.microsoft.com/office/drawing/2014/main" id="{FF0D188C-C78E-4CAB-99ED-0292B60A4AED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693" name="Isosceles Triangle 692">
          <a:extLst>
            <a:ext uri="{FF2B5EF4-FFF2-40B4-BE49-F238E27FC236}">
              <a16:creationId xmlns:a16="http://schemas.microsoft.com/office/drawing/2014/main" id="{8E0779B6-251B-4D3A-8505-DD62A1130786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694" name="Isosceles Triangle 693">
          <a:extLst>
            <a:ext uri="{FF2B5EF4-FFF2-40B4-BE49-F238E27FC236}">
              <a16:creationId xmlns:a16="http://schemas.microsoft.com/office/drawing/2014/main" id="{8AA06BF9-2B3E-440E-A958-7933789B75BB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695" name="Isosceles Triangle 694">
          <a:extLst>
            <a:ext uri="{FF2B5EF4-FFF2-40B4-BE49-F238E27FC236}">
              <a16:creationId xmlns:a16="http://schemas.microsoft.com/office/drawing/2014/main" id="{BCFB5D3C-6D24-44C8-94E0-B4A34677D264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696" name="Isosceles Triangle 695">
          <a:extLst>
            <a:ext uri="{FF2B5EF4-FFF2-40B4-BE49-F238E27FC236}">
              <a16:creationId xmlns:a16="http://schemas.microsoft.com/office/drawing/2014/main" id="{E658B4E0-600C-4EAF-8191-EB820A5ABC39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697" name="Isosceles Triangle 696">
          <a:extLst>
            <a:ext uri="{FF2B5EF4-FFF2-40B4-BE49-F238E27FC236}">
              <a16:creationId xmlns:a16="http://schemas.microsoft.com/office/drawing/2014/main" id="{3553AB46-CE3D-4F00-B091-F12605E07782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698" name="Isosceles Triangle 697">
          <a:extLst>
            <a:ext uri="{FF2B5EF4-FFF2-40B4-BE49-F238E27FC236}">
              <a16:creationId xmlns:a16="http://schemas.microsoft.com/office/drawing/2014/main" id="{DD995BF8-EE50-4A9E-93F7-9131C2ACA2A4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699" name="Isosceles Triangle 698">
          <a:extLst>
            <a:ext uri="{FF2B5EF4-FFF2-40B4-BE49-F238E27FC236}">
              <a16:creationId xmlns:a16="http://schemas.microsoft.com/office/drawing/2014/main" id="{E8A0ECE0-CC5D-4CFA-9791-32D0F8B6E1EB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74</xdr:row>
      <xdr:rowOff>196272</xdr:rowOff>
    </xdr:from>
    <xdr:to>
      <xdr:col>10</xdr:col>
      <xdr:colOff>2320636</xdr:colOff>
      <xdr:row>74</xdr:row>
      <xdr:rowOff>346363</xdr:rowOff>
    </xdr:to>
    <xdr:sp macro="" textlink="">
      <xdr:nvSpPr>
        <xdr:cNvPr id="700" name="Isosceles Triangle 699">
          <a:extLst>
            <a:ext uri="{FF2B5EF4-FFF2-40B4-BE49-F238E27FC236}">
              <a16:creationId xmlns:a16="http://schemas.microsoft.com/office/drawing/2014/main" id="{193388BD-4553-4EDD-B743-A0AFC27BBC39}"/>
            </a:ext>
          </a:extLst>
        </xdr:cNvPr>
        <xdr:cNvSpPr/>
      </xdr:nvSpPr>
      <xdr:spPr>
        <a:xfrm rot="10800000">
          <a:off x="14088917" y="4070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74</xdr:row>
      <xdr:rowOff>196272</xdr:rowOff>
    </xdr:from>
    <xdr:to>
      <xdr:col>10</xdr:col>
      <xdr:colOff>2320636</xdr:colOff>
      <xdr:row>74</xdr:row>
      <xdr:rowOff>346363</xdr:rowOff>
    </xdr:to>
    <xdr:sp macro="" textlink="">
      <xdr:nvSpPr>
        <xdr:cNvPr id="701" name="Isosceles Triangle 700">
          <a:extLst>
            <a:ext uri="{FF2B5EF4-FFF2-40B4-BE49-F238E27FC236}">
              <a16:creationId xmlns:a16="http://schemas.microsoft.com/office/drawing/2014/main" id="{C2083FBB-EC36-4584-AF28-8E46CA784C68}"/>
            </a:ext>
          </a:extLst>
        </xdr:cNvPr>
        <xdr:cNvSpPr/>
      </xdr:nvSpPr>
      <xdr:spPr>
        <a:xfrm rot="10800000">
          <a:off x="14088917" y="4070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75</xdr:row>
      <xdr:rowOff>196272</xdr:rowOff>
    </xdr:from>
    <xdr:to>
      <xdr:col>10</xdr:col>
      <xdr:colOff>2320636</xdr:colOff>
      <xdr:row>75</xdr:row>
      <xdr:rowOff>346363</xdr:rowOff>
    </xdr:to>
    <xdr:sp macro="" textlink="">
      <xdr:nvSpPr>
        <xdr:cNvPr id="702" name="Isosceles Triangle 701">
          <a:extLst>
            <a:ext uri="{FF2B5EF4-FFF2-40B4-BE49-F238E27FC236}">
              <a16:creationId xmlns:a16="http://schemas.microsoft.com/office/drawing/2014/main" id="{2A223E0C-AE40-4CEF-B8F7-CF258C4D1386}"/>
            </a:ext>
          </a:extLst>
        </xdr:cNvPr>
        <xdr:cNvSpPr/>
      </xdr:nvSpPr>
      <xdr:spPr>
        <a:xfrm rot="10800000">
          <a:off x="14088917" y="4070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75</xdr:row>
      <xdr:rowOff>196272</xdr:rowOff>
    </xdr:from>
    <xdr:to>
      <xdr:col>10</xdr:col>
      <xdr:colOff>2320636</xdr:colOff>
      <xdr:row>75</xdr:row>
      <xdr:rowOff>346363</xdr:rowOff>
    </xdr:to>
    <xdr:sp macro="" textlink="">
      <xdr:nvSpPr>
        <xdr:cNvPr id="703" name="Isosceles Triangle 702">
          <a:extLst>
            <a:ext uri="{FF2B5EF4-FFF2-40B4-BE49-F238E27FC236}">
              <a16:creationId xmlns:a16="http://schemas.microsoft.com/office/drawing/2014/main" id="{51E4B5C1-A3C1-492F-A4EA-357776DA7A5E}"/>
            </a:ext>
          </a:extLst>
        </xdr:cNvPr>
        <xdr:cNvSpPr/>
      </xdr:nvSpPr>
      <xdr:spPr>
        <a:xfrm rot="10800000">
          <a:off x="14088917" y="4070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76</xdr:row>
      <xdr:rowOff>196272</xdr:rowOff>
    </xdr:from>
    <xdr:to>
      <xdr:col>10</xdr:col>
      <xdr:colOff>2320636</xdr:colOff>
      <xdr:row>76</xdr:row>
      <xdr:rowOff>346363</xdr:rowOff>
    </xdr:to>
    <xdr:sp macro="" textlink="">
      <xdr:nvSpPr>
        <xdr:cNvPr id="704" name="Isosceles Triangle 703">
          <a:extLst>
            <a:ext uri="{FF2B5EF4-FFF2-40B4-BE49-F238E27FC236}">
              <a16:creationId xmlns:a16="http://schemas.microsoft.com/office/drawing/2014/main" id="{93FBC397-F0A6-4A0F-B024-23F404DF89C2}"/>
            </a:ext>
          </a:extLst>
        </xdr:cNvPr>
        <xdr:cNvSpPr/>
      </xdr:nvSpPr>
      <xdr:spPr>
        <a:xfrm rot="10800000">
          <a:off x="14088917" y="4070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76</xdr:row>
      <xdr:rowOff>196272</xdr:rowOff>
    </xdr:from>
    <xdr:to>
      <xdr:col>10</xdr:col>
      <xdr:colOff>2320636</xdr:colOff>
      <xdr:row>76</xdr:row>
      <xdr:rowOff>346363</xdr:rowOff>
    </xdr:to>
    <xdr:sp macro="" textlink="">
      <xdr:nvSpPr>
        <xdr:cNvPr id="705" name="Isosceles Triangle 704">
          <a:extLst>
            <a:ext uri="{FF2B5EF4-FFF2-40B4-BE49-F238E27FC236}">
              <a16:creationId xmlns:a16="http://schemas.microsoft.com/office/drawing/2014/main" id="{086106F9-6BD4-42FF-BCEA-1F208447B5AC}"/>
            </a:ext>
          </a:extLst>
        </xdr:cNvPr>
        <xdr:cNvSpPr/>
      </xdr:nvSpPr>
      <xdr:spPr>
        <a:xfrm rot="10800000">
          <a:off x="14088917" y="4070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52</xdr:row>
      <xdr:rowOff>196272</xdr:rowOff>
    </xdr:from>
    <xdr:to>
      <xdr:col>10</xdr:col>
      <xdr:colOff>2320636</xdr:colOff>
      <xdr:row>52</xdr:row>
      <xdr:rowOff>346363</xdr:rowOff>
    </xdr:to>
    <xdr:sp macro="" textlink="">
      <xdr:nvSpPr>
        <xdr:cNvPr id="706" name="Isosceles Triangle 705">
          <a:extLst>
            <a:ext uri="{FF2B5EF4-FFF2-40B4-BE49-F238E27FC236}">
              <a16:creationId xmlns:a16="http://schemas.microsoft.com/office/drawing/2014/main" id="{55A8C7E1-808D-4576-A797-12B099BB5445}"/>
            </a:ext>
          </a:extLst>
        </xdr:cNvPr>
        <xdr:cNvSpPr/>
      </xdr:nvSpPr>
      <xdr:spPr>
        <a:xfrm rot="10800000">
          <a:off x="14088917" y="2927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50</xdr:row>
      <xdr:rowOff>196272</xdr:rowOff>
    </xdr:from>
    <xdr:to>
      <xdr:col>10</xdr:col>
      <xdr:colOff>2320636</xdr:colOff>
      <xdr:row>50</xdr:row>
      <xdr:rowOff>346363</xdr:rowOff>
    </xdr:to>
    <xdr:sp macro="" textlink="">
      <xdr:nvSpPr>
        <xdr:cNvPr id="707" name="Isosceles Triangle 706">
          <a:extLst>
            <a:ext uri="{FF2B5EF4-FFF2-40B4-BE49-F238E27FC236}">
              <a16:creationId xmlns:a16="http://schemas.microsoft.com/office/drawing/2014/main" id="{49373499-A20F-47A2-8D9F-BB64D97CBB88}"/>
            </a:ext>
          </a:extLst>
        </xdr:cNvPr>
        <xdr:cNvSpPr/>
      </xdr:nvSpPr>
      <xdr:spPr>
        <a:xfrm rot="10800000">
          <a:off x="14088917" y="2927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448" name="Isosceles Triangle 447">
          <a:extLst>
            <a:ext uri="{FF2B5EF4-FFF2-40B4-BE49-F238E27FC236}">
              <a16:creationId xmlns:a16="http://schemas.microsoft.com/office/drawing/2014/main" id="{204CEC5C-D3EE-403B-9460-9E91580AAD67}"/>
            </a:ext>
          </a:extLst>
        </xdr:cNvPr>
        <xdr:cNvSpPr/>
      </xdr:nvSpPr>
      <xdr:spPr>
        <a:xfrm rot="10800000">
          <a:off x="10621817" y="2013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449" name="Isosceles Triangle 448">
          <a:extLst>
            <a:ext uri="{FF2B5EF4-FFF2-40B4-BE49-F238E27FC236}">
              <a16:creationId xmlns:a16="http://schemas.microsoft.com/office/drawing/2014/main" id="{9E5174CF-F8AE-498C-B0B4-2F9A0F53CB43}"/>
            </a:ext>
          </a:extLst>
        </xdr:cNvPr>
        <xdr:cNvSpPr/>
      </xdr:nvSpPr>
      <xdr:spPr>
        <a:xfrm rot="10800000">
          <a:off x="10621817" y="2013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37</xdr:row>
      <xdr:rowOff>196272</xdr:rowOff>
    </xdr:from>
    <xdr:to>
      <xdr:col>8</xdr:col>
      <xdr:colOff>2320636</xdr:colOff>
      <xdr:row>37</xdr:row>
      <xdr:rowOff>346363</xdr:rowOff>
    </xdr:to>
    <xdr:sp macro="" textlink="">
      <xdr:nvSpPr>
        <xdr:cNvPr id="450" name="Isosceles Triangle 449">
          <a:extLst>
            <a:ext uri="{FF2B5EF4-FFF2-40B4-BE49-F238E27FC236}">
              <a16:creationId xmlns:a16="http://schemas.microsoft.com/office/drawing/2014/main" id="{6354306B-F4C6-415A-9E89-6371A9736C5D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37</xdr:row>
      <xdr:rowOff>196272</xdr:rowOff>
    </xdr:from>
    <xdr:to>
      <xdr:col>8</xdr:col>
      <xdr:colOff>2320636</xdr:colOff>
      <xdr:row>37</xdr:row>
      <xdr:rowOff>346363</xdr:rowOff>
    </xdr:to>
    <xdr:sp macro="" textlink="">
      <xdr:nvSpPr>
        <xdr:cNvPr id="451" name="Isosceles Triangle 450">
          <a:extLst>
            <a:ext uri="{FF2B5EF4-FFF2-40B4-BE49-F238E27FC236}">
              <a16:creationId xmlns:a16="http://schemas.microsoft.com/office/drawing/2014/main" id="{116484E1-6EAF-4AFF-A122-A2EF6586C24C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37</xdr:row>
      <xdr:rowOff>196272</xdr:rowOff>
    </xdr:from>
    <xdr:to>
      <xdr:col>8</xdr:col>
      <xdr:colOff>2320636</xdr:colOff>
      <xdr:row>37</xdr:row>
      <xdr:rowOff>346363</xdr:rowOff>
    </xdr:to>
    <xdr:sp macro="" textlink="">
      <xdr:nvSpPr>
        <xdr:cNvPr id="452" name="Isosceles Triangle 451">
          <a:extLst>
            <a:ext uri="{FF2B5EF4-FFF2-40B4-BE49-F238E27FC236}">
              <a16:creationId xmlns:a16="http://schemas.microsoft.com/office/drawing/2014/main" id="{5A27E85A-E89C-4460-906A-26FF81770EC5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37</xdr:row>
      <xdr:rowOff>196272</xdr:rowOff>
    </xdr:from>
    <xdr:to>
      <xdr:col>8</xdr:col>
      <xdr:colOff>2320636</xdr:colOff>
      <xdr:row>37</xdr:row>
      <xdr:rowOff>346363</xdr:rowOff>
    </xdr:to>
    <xdr:sp macro="" textlink="">
      <xdr:nvSpPr>
        <xdr:cNvPr id="453" name="Isosceles Triangle 452">
          <a:extLst>
            <a:ext uri="{FF2B5EF4-FFF2-40B4-BE49-F238E27FC236}">
              <a16:creationId xmlns:a16="http://schemas.microsoft.com/office/drawing/2014/main" id="{6AC2B2A7-D4F8-46C0-9175-35AC303E283F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454" name="Isosceles Triangle 453">
          <a:extLst>
            <a:ext uri="{FF2B5EF4-FFF2-40B4-BE49-F238E27FC236}">
              <a16:creationId xmlns:a16="http://schemas.microsoft.com/office/drawing/2014/main" id="{B353E4BA-AA47-4F37-8620-66939BA7D41A}"/>
            </a:ext>
          </a:extLst>
        </xdr:cNvPr>
        <xdr:cNvSpPr/>
      </xdr:nvSpPr>
      <xdr:spPr>
        <a:xfrm rot="10800000">
          <a:off x="10621817" y="2013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455" name="Isosceles Triangle 454">
          <a:extLst>
            <a:ext uri="{FF2B5EF4-FFF2-40B4-BE49-F238E27FC236}">
              <a16:creationId xmlns:a16="http://schemas.microsoft.com/office/drawing/2014/main" id="{636EFBCC-3B19-4E34-A172-82A77F029B9C}"/>
            </a:ext>
          </a:extLst>
        </xdr:cNvPr>
        <xdr:cNvSpPr/>
      </xdr:nvSpPr>
      <xdr:spPr>
        <a:xfrm rot="10800000">
          <a:off x="10621817" y="2013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456" name="Isosceles Triangle 455">
          <a:extLst>
            <a:ext uri="{FF2B5EF4-FFF2-40B4-BE49-F238E27FC236}">
              <a16:creationId xmlns:a16="http://schemas.microsoft.com/office/drawing/2014/main" id="{FE293602-6382-4F07-AA47-653993AEE030}"/>
            </a:ext>
          </a:extLst>
        </xdr:cNvPr>
        <xdr:cNvSpPr/>
      </xdr:nvSpPr>
      <xdr:spPr>
        <a:xfrm rot="10800000">
          <a:off x="10621817" y="2013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457" name="Isosceles Triangle 456">
          <a:extLst>
            <a:ext uri="{FF2B5EF4-FFF2-40B4-BE49-F238E27FC236}">
              <a16:creationId xmlns:a16="http://schemas.microsoft.com/office/drawing/2014/main" id="{F4B9642D-D7A8-4E15-AD6E-F47774902557}"/>
            </a:ext>
          </a:extLst>
        </xdr:cNvPr>
        <xdr:cNvSpPr/>
      </xdr:nvSpPr>
      <xdr:spPr>
        <a:xfrm rot="10800000">
          <a:off x="10621817" y="2013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458" name="Isosceles Triangle 457">
          <a:extLst>
            <a:ext uri="{FF2B5EF4-FFF2-40B4-BE49-F238E27FC236}">
              <a16:creationId xmlns:a16="http://schemas.microsoft.com/office/drawing/2014/main" id="{E0FA2F55-5CF0-4651-A8B1-339148FA87BC}"/>
            </a:ext>
          </a:extLst>
        </xdr:cNvPr>
        <xdr:cNvSpPr/>
      </xdr:nvSpPr>
      <xdr:spPr>
        <a:xfrm rot="10800000">
          <a:off x="10621817" y="2013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459" name="Isosceles Triangle 458">
          <a:extLst>
            <a:ext uri="{FF2B5EF4-FFF2-40B4-BE49-F238E27FC236}">
              <a16:creationId xmlns:a16="http://schemas.microsoft.com/office/drawing/2014/main" id="{4F37FFA8-4588-4645-B497-D17BB7BACBA4}"/>
            </a:ext>
          </a:extLst>
        </xdr:cNvPr>
        <xdr:cNvSpPr/>
      </xdr:nvSpPr>
      <xdr:spPr>
        <a:xfrm rot="10800000">
          <a:off x="10621817" y="2013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460" name="Isosceles Triangle 459">
          <a:extLst>
            <a:ext uri="{FF2B5EF4-FFF2-40B4-BE49-F238E27FC236}">
              <a16:creationId xmlns:a16="http://schemas.microsoft.com/office/drawing/2014/main" id="{151101AB-384C-41F9-AE0D-FB51BC912AD8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461" name="Isosceles Triangle 460">
          <a:extLst>
            <a:ext uri="{FF2B5EF4-FFF2-40B4-BE49-F238E27FC236}">
              <a16:creationId xmlns:a16="http://schemas.microsoft.com/office/drawing/2014/main" id="{94367963-4871-4C83-82CA-F9B234A2EF6C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462" name="Isosceles Triangle 461">
          <a:extLst>
            <a:ext uri="{FF2B5EF4-FFF2-40B4-BE49-F238E27FC236}">
              <a16:creationId xmlns:a16="http://schemas.microsoft.com/office/drawing/2014/main" id="{8830E190-5FC4-4645-8027-35FEBF875785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463" name="Isosceles Triangle 462">
          <a:extLst>
            <a:ext uri="{FF2B5EF4-FFF2-40B4-BE49-F238E27FC236}">
              <a16:creationId xmlns:a16="http://schemas.microsoft.com/office/drawing/2014/main" id="{230B805E-D951-4DBE-9B99-605277C3E21C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464" name="Isosceles Triangle 463">
          <a:extLst>
            <a:ext uri="{FF2B5EF4-FFF2-40B4-BE49-F238E27FC236}">
              <a16:creationId xmlns:a16="http://schemas.microsoft.com/office/drawing/2014/main" id="{D4B89E7A-0680-4EA9-A46D-256BB55E2065}"/>
            </a:ext>
          </a:extLst>
        </xdr:cNvPr>
        <xdr:cNvSpPr/>
      </xdr:nvSpPr>
      <xdr:spPr>
        <a:xfrm rot="10800000">
          <a:off x="10621817" y="2070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465" name="Isosceles Triangle 464">
          <a:extLst>
            <a:ext uri="{FF2B5EF4-FFF2-40B4-BE49-F238E27FC236}">
              <a16:creationId xmlns:a16="http://schemas.microsoft.com/office/drawing/2014/main" id="{64F7CFAB-965B-43B8-8798-453C12193127}"/>
            </a:ext>
          </a:extLst>
        </xdr:cNvPr>
        <xdr:cNvSpPr/>
      </xdr:nvSpPr>
      <xdr:spPr>
        <a:xfrm rot="10800000">
          <a:off x="10621817" y="2070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466" name="Isosceles Triangle 465">
          <a:extLst>
            <a:ext uri="{FF2B5EF4-FFF2-40B4-BE49-F238E27FC236}">
              <a16:creationId xmlns:a16="http://schemas.microsoft.com/office/drawing/2014/main" id="{9FD3269D-BC42-4550-B1AD-338F147FC0C6}"/>
            </a:ext>
          </a:extLst>
        </xdr:cNvPr>
        <xdr:cNvSpPr/>
      </xdr:nvSpPr>
      <xdr:spPr>
        <a:xfrm rot="10800000">
          <a:off x="10621817" y="2070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467" name="Isosceles Triangle 466">
          <a:extLst>
            <a:ext uri="{FF2B5EF4-FFF2-40B4-BE49-F238E27FC236}">
              <a16:creationId xmlns:a16="http://schemas.microsoft.com/office/drawing/2014/main" id="{BDDA1890-3382-4CA2-B238-E203FD11870B}"/>
            </a:ext>
          </a:extLst>
        </xdr:cNvPr>
        <xdr:cNvSpPr/>
      </xdr:nvSpPr>
      <xdr:spPr>
        <a:xfrm rot="10800000">
          <a:off x="10621817" y="2070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468" name="Isosceles Triangle 467">
          <a:extLst>
            <a:ext uri="{FF2B5EF4-FFF2-40B4-BE49-F238E27FC236}">
              <a16:creationId xmlns:a16="http://schemas.microsoft.com/office/drawing/2014/main" id="{02EDAB15-9DB4-4011-BE6F-3977D0F632EA}"/>
            </a:ext>
          </a:extLst>
        </xdr:cNvPr>
        <xdr:cNvSpPr/>
      </xdr:nvSpPr>
      <xdr:spPr>
        <a:xfrm rot="10800000">
          <a:off x="10621817" y="2070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469" name="Isosceles Triangle 468">
          <a:extLst>
            <a:ext uri="{FF2B5EF4-FFF2-40B4-BE49-F238E27FC236}">
              <a16:creationId xmlns:a16="http://schemas.microsoft.com/office/drawing/2014/main" id="{2C17C857-89CE-431F-A4F5-179995DD1DB2}"/>
            </a:ext>
          </a:extLst>
        </xdr:cNvPr>
        <xdr:cNvSpPr/>
      </xdr:nvSpPr>
      <xdr:spPr>
        <a:xfrm rot="10800000">
          <a:off x="10621817" y="2070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470" name="Isosceles Triangle 469">
          <a:extLst>
            <a:ext uri="{FF2B5EF4-FFF2-40B4-BE49-F238E27FC236}">
              <a16:creationId xmlns:a16="http://schemas.microsoft.com/office/drawing/2014/main" id="{F36F509F-052B-405B-97D3-C064FB6867CC}"/>
            </a:ext>
          </a:extLst>
        </xdr:cNvPr>
        <xdr:cNvSpPr/>
      </xdr:nvSpPr>
      <xdr:spPr>
        <a:xfrm rot="10800000">
          <a:off x="10621817" y="2070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708" name="Isosceles Triangle 707">
          <a:extLst>
            <a:ext uri="{FF2B5EF4-FFF2-40B4-BE49-F238E27FC236}">
              <a16:creationId xmlns:a16="http://schemas.microsoft.com/office/drawing/2014/main" id="{FEA1661F-AC6A-48D3-9183-5588FB8D7FCA}"/>
            </a:ext>
          </a:extLst>
        </xdr:cNvPr>
        <xdr:cNvSpPr/>
      </xdr:nvSpPr>
      <xdr:spPr>
        <a:xfrm rot="10800000">
          <a:off x="10621817" y="2070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709" name="Isosceles Triangle 708">
          <a:extLst>
            <a:ext uri="{FF2B5EF4-FFF2-40B4-BE49-F238E27FC236}">
              <a16:creationId xmlns:a16="http://schemas.microsoft.com/office/drawing/2014/main" id="{140C63DE-A988-4A24-A800-D980D8C2CAB8}"/>
            </a:ext>
          </a:extLst>
        </xdr:cNvPr>
        <xdr:cNvSpPr/>
      </xdr:nvSpPr>
      <xdr:spPr>
        <a:xfrm rot="10800000">
          <a:off x="10621817" y="2070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710" name="Isosceles Triangle 709">
          <a:extLst>
            <a:ext uri="{FF2B5EF4-FFF2-40B4-BE49-F238E27FC236}">
              <a16:creationId xmlns:a16="http://schemas.microsoft.com/office/drawing/2014/main" id="{3770DC31-0669-4EFE-96A3-4DD5316B2C89}"/>
            </a:ext>
          </a:extLst>
        </xdr:cNvPr>
        <xdr:cNvSpPr/>
      </xdr:nvSpPr>
      <xdr:spPr>
        <a:xfrm rot="10800000">
          <a:off x="10621817" y="2070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711" name="Isosceles Triangle 710">
          <a:extLst>
            <a:ext uri="{FF2B5EF4-FFF2-40B4-BE49-F238E27FC236}">
              <a16:creationId xmlns:a16="http://schemas.microsoft.com/office/drawing/2014/main" id="{EBB0E694-C11A-421D-A0C7-205E81B1CC1D}"/>
            </a:ext>
          </a:extLst>
        </xdr:cNvPr>
        <xdr:cNvSpPr/>
      </xdr:nvSpPr>
      <xdr:spPr>
        <a:xfrm rot="10800000">
          <a:off x="10621817" y="2070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712" name="Isosceles Triangle 711">
          <a:extLst>
            <a:ext uri="{FF2B5EF4-FFF2-40B4-BE49-F238E27FC236}">
              <a16:creationId xmlns:a16="http://schemas.microsoft.com/office/drawing/2014/main" id="{D7998514-4C6F-4512-BD9D-F9673A81DDF3}"/>
            </a:ext>
          </a:extLst>
        </xdr:cNvPr>
        <xdr:cNvSpPr/>
      </xdr:nvSpPr>
      <xdr:spPr>
        <a:xfrm rot="10800000">
          <a:off x="10621817" y="2070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37</xdr:row>
      <xdr:rowOff>196272</xdr:rowOff>
    </xdr:from>
    <xdr:to>
      <xdr:col>8</xdr:col>
      <xdr:colOff>2320636</xdr:colOff>
      <xdr:row>37</xdr:row>
      <xdr:rowOff>346363</xdr:rowOff>
    </xdr:to>
    <xdr:sp macro="" textlink="">
      <xdr:nvSpPr>
        <xdr:cNvPr id="713" name="Isosceles Triangle 712">
          <a:extLst>
            <a:ext uri="{FF2B5EF4-FFF2-40B4-BE49-F238E27FC236}">
              <a16:creationId xmlns:a16="http://schemas.microsoft.com/office/drawing/2014/main" id="{D505CB21-D0C0-4687-A4F7-748695693555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37</xdr:row>
      <xdr:rowOff>196272</xdr:rowOff>
    </xdr:from>
    <xdr:to>
      <xdr:col>8</xdr:col>
      <xdr:colOff>2320636</xdr:colOff>
      <xdr:row>37</xdr:row>
      <xdr:rowOff>346363</xdr:rowOff>
    </xdr:to>
    <xdr:sp macro="" textlink="">
      <xdr:nvSpPr>
        <xdr:cNvPr id="714" name="Isosceles Triangle 713">
          <a:extLst>
            <a:ext uri="{FF2B5EF4-FFF2-40B4-BE49-F238E27FC236}">
              <a16:creationId xmlns:a16="http://schemas.microsoft.com/office/drawing/2014/main" id="{ACA1F2EB-0378-4DD6-AFFB-302079FC4087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37</xdr:row>
      <xdr:rowOff>196272</xdr:rowOff>
    </xdr:from>
    <xdr:to>
      <xdr:col>8</xdr:col>
      <xdr:colOff>2320636</xdr:colOff>
      <xdr:row>37</xdr:row>
      <xdr:rowOff>346363</xdr:rowOff>
    </xdr:to>
    <xdr:sp macro="" textlink="">
      <xdr:nvSpPr>
        <xdr:cNvPr id="715" name="Isosceles Triangle 714">
          <a:extLst>
            <a:ext uri="{FF2B5EF4-FFF2-40B4-BE49-F238E27FC236}">
              <a16:creationId xmlns:a16="http://schemas.microsoft.com/office/drawing/2014/main" id="{D9AA8BAF-AB18-48DB-B5D6-DED7CCFAFB9B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37</xdr:row>
      <xdr:rowOff>196272</xdr:rowOff>
    </xdr:from>
    <xdr:to>
      <xdr:col>8</xdr:col>
      <xdr:colOff>2320636</xdr:colOff>
      <xdr:row>37</xdr:row>
      <xdr:rowOff>346363</xdr:rowOff>
    </xdr:to>
    <xdr:sp macro="" textlink="">
      <xdr:nvSpPr>
        <xdr:cNvPr id="716" name="Isosceles Triangle 715">
          <a:extLst>
            <a:ext uri="{FF2B5EF4-FFF2-40B4-BE49-F238E27FC236}">
              <a16:creationId xmlns:a16="http://schemas.microsoft.com/office/drawing/2014/main" id="{9C80F8C7-7CB3-453A-8A0F-8F4CF4232279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717" name="Isosceles Triangle 716">
          <a:extLst>
            <a:ext uri="{FF2B5EF4-FFF2-40B4-BE49-F238E27FC236}">
              <a16:creationId xmlns:a16="http://schemas.microsoft.com/office/drawing/2014/main" id="{3C639F9C-17F9-474B-9D38-EB6BE23775E5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718" name="Isosceles Triangle 717">
          <a:extLst>
            <a:ext uri="{FF2B5EF4-FFF2-40B4-BE49-F238E27FC236}">
              <a16:creationId xmlns:a16="http://schemas.microsoft.com/office/drawing/2014/main" id="{2DA4787A-E3BE-431A-9AB7-CB8A4EB175A9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719" name="Isosceles Triangle 718">
          <a:extLst>
            <a:ext uri="{FF2B5EF4-FFF2-40B4-BE49-F238E27FC236}">
              <a16:creationId xmlns:a16="http://schemas.microsoft.com/office/drawing/2014/main" id="{CDF3234D-33F0-4206-A3FA-9FD5DB73C735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720" name="Isosceles Triangle 719">
          <a:extLst>
            <a:ext uri="{FF2B5EF4-FFF2-40B4-BE49-F238E27FC236}">
              <a16:creationId xmlns:a16="http://schemas.microsoft.com/office/drawing/2014/main" id="{92FA6509-2B96-4574-B7DC-311F67B63807}"/>
            </a:ext>
          </a:extLst>
        </xdr:cNvPr>
        <xdr:cNvSpPr/>
      </xdr:nvSpPr>
      <xdr:spPr>
        <a:xfrm rot="10800000">
          <a:off x="10621817" y="2127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21" name="Isosceles Triangle 720">
          <a:extLst>
            <a:ext uri="{FF2B5EF4-FFF2-40B4-BE49-F238E27FC236}">
              <a16:creationId xmlns:a16="http://schemas.microsoft.com/office/drawing/2014/main" id="{1315F0F4-2002-4570-85F4-4660973F0BBC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22" name="Isosceles Triangle 721">
          <a:extLst>
            <a:ext uri="{FF2B5EF4-FFF2-40B4-BE49-F238E27FC236}">
              <a16:creationId xmlns:a16="http://schemas.microsoft.com/office/drawing/2014/main" id="{81814187-858E-4BAC-AE43-E1428A5837FF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23" name="Isosceles Triangle 722">
          <a:extLst>
            <a:ext uri="{FF2B5EF4-FFF2-40B4-BE49-F238E27FC236}">
              <a16:creationId xmlns:a16="http://schemas.microsoft.com/office/drawing/2014/main" id="{6B172A21-E64B-42B4-8898-A33C89FB99EC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24" name="Isosceles Triangle 723">
          <a:extLst>
            <a:ext uri="{FF2B5EF4-FFF2-40B4-BE49-F238E27FC236}">
              <a16:creationId xmlns:a16="http://schemas.microsoft.com/office/drawing/2014/main" id="{E1594DD1-D076-4313-A40F-FB325B79C83F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25" name="Isosceles Triangle 724">
          <a:extLst>
            <a:ext uri="{FF2B5EF4-FFF2-40B4-BE49-F238E27FC236}">
              <a16:creationId xmlns:a16="http://schemas.microsoft.com/office/drawing/2014/main" id="{08647360-331F-4305-AF0D-FEE468A2BB28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26" name="Isosceles Triangle 725">
          <a:extLst>
            <a:ext uri="{FF2B5EF4-FFF2-40B4-BE49-F238E27FC236}">
              <a16:creationId xmlns:a16="http://schemas.microsoft.com/office/drawing/2014/main" id="{21E41AD0-6E21-43AF-B87F-5DA055D83236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27" name="Isosceles Triangle 726">
          <a:extLst>
            <a:ext uri="{FF2B5EF4-FFF2-40B4-BE49-F238E27FC236}">
              <a16:creationId xmlns:a16="http://schemas.microsoft.com/office/drawing/2014/main" id="{8E1ED758-BC97-4481-AB9C-1C9B8938A710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28" name="Isosceles Triangle 727">
          <a:extLst>
            <a:ext uri="{FF2B5EF4-FFF2-40B4-BE49-F238E27FC236}">
              <a16:creationId xmlns:a16="http://schemas.microsoft.com/office/drawing/2014/main" id="{D61B0C1E-C364-4C12-9B4F-82AE60B15ACE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29" name="Isosceles Triangle 728">
          <a:extLst>
            <a:ext uri="{FF2B5EF4-FFF2-40B4-BE49-F238E27FC236}">
              <a16:creationId xmlns:a16="http://schemas.microsoft.com/office/drawing/2014/main" id="{FBBB1F20-355A-4F8E-9BE3-290A96A4AC21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30" name="Isosceles Triangle 729">
          <a:extLst>
            <a:ext uri="{FF2B5EF4-FFF2-40B4-BE49-F238E27FC236}">
              <a16:creationId xmlns:a16="http://schemas.microsoft.com/office/drawing/2014/main" id="{0C823510-0700-4084-BB85-452B112FEF04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31" name="Isosceles Triangle 730">
          <a:extLst>
            <a:ext uri="{FF2B5EF4-FFF2-40B4-BE49-F238E27FC236}">
              <a16:creationId xmlns:a16="http://schemas.microsoft.com/office/drawing/2014/main" id="{31E3A31A-EDCC-4426-833C-19EAD9B5441E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32" name="Isosceles Triangle 731">
          <a:extLst>
            <a:ext uri="{FF2B5EF4-FFF2-40B4-BE49-F238E27FC236}">
              <a16:creationId xmlns:a16="http://schemas.microsoft.com/office/drawing/2014/main" id="{7D22F56B-105D-4A53-A0B4-56CDD4ABE1BC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33" name="Isosceles Triangle 732">
          <a:extLst>
            <a:ext uri="{FF2B5EF4-FFF2-40B4-BE49-F238E27FC236}">
              <a16:creationId xmlns:a16="http://schemas.microsoft.com/office/drawing/2014/main" id="{30FCB2F9-E4E3-4D2B-919C-124F67C2AC85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34" name="Isosceles Triangle 733">
          <a:extLst>
            <a:ext uri="{FF2B5EF4-FFF2-40B4-BE49-F238E27FC236}">
              <a16:creationId xmlns:a16="http://schemas.microsoft.com/office/drawing/2014/main" id="{8E7EFC3A-8F46-4BB5-9663-91E46C7CCF74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35" name="Isosceles Triangle 734">
          <a:extLst>
            <a:ext uri="{FF2B5EF4-FFF2-40B4-BE49-F238E27FC236}">
              <a16:creationId xmlns:a16="http://schemas.microsoft.com/office/drawing/2014/main" id="{6BA1050F-ADCB-48E4-8634-7FEF4DD9D3AF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36" name="Isosceles Triangle 735">
          <a:extLst>
            <a:ext uri="{FF2B5EF4-FFF2-40B4-BE49-F238E27FC236}">
              <a16:creationId xmlns:a16="http://schemas.microsoft.com/office/drawing/2014/main" id="{6B4D8F9C-7C7C-457D-80D8-CBE8AA2A022E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37" name="Isosceles Triangle 736">
          <a:extLst>
            <a:ext uri="{FF2B5EF4-FFF2-40B4-BE49-F238E27FC236}">
              <a16:creationId xmlns:a16="http://schemas.microsoft.com/office/drawing/2014/main" id="{E5FB311F-FFD5-4211-ACC4-0ED9C1F0C250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38" name="Isosceles Triangle 737">
          <a:extLst>
            <a:ext uri="{FF2B5EF4-FFF2-40B4-BE49-F238E27FC236}">
              <a16:creationId xmlns:a16="http://schemas.microsoft.com/office/drawing/2014/main" id="{A3EC07E2-3AFD-4CB7-B4E2-AFF8FD89382E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39" name="Isosceles Triangle 738">
          <a:extLst>
            <a:ext uri="{FF2B5EF4-FFF2-40B4-BE49-F238E27FC236}">
              <a16:creationId xmlns:a16="http://schemas.microsoft.com/office/drawing/2014/main" id="{3102AB71-34E7-41BB-86F4-ABB53CBBAD02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740" name="Isosceles Triangle 739">
          <a:extLst>
            <a:ext uri="{FF2B5EF4-FFF2-40B4-BE49-F238E27FC236}">
              <a16:creationId xmlns:a16="http://schemas.microsoft.com/office/drawing/2014/main" id="{5C1DF061-7EB7-4CB9-800D-5B61574680D0}"/>
            </a:ext>
          </a:extLst>
        </xdr:cNvPr>
        <xdr:cNvSpPr/>
      </xdr:nvSpPr>
      <xdr:spPr>
        <a:xfrm rot="10800000">
          <a:off x="10621817" y="2184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129</xdr:row>
      <xdr:rowOff>196272</xdr:rowOff>
    </xdr:from>
    <xdr:to>
      <xdr:col>8</xdr:col>
      <xdr:colOff>2320636</xdr:colOff>
      <xdr:row>129</xdr:row>
      <xdr:rowOff>346363</xdr:rowOff>
    </xdr:to>
    <xdr:sp macro="" textlink="">
      <xdr:nvSpPr>
        <xdr:cNvPr id="741" name="Isosceles Triangle 740">
          <a:extLst>
            <a:ext uri="{FF2B5EF4-FFF2-40B4-BE49-F238E27FC236}">
              <a16:creationId xmlns:a16="http://schemas.microsoft.com/office/drawing/2014/main" id="{67138F18-4CFB-4BC5-AB7F-82D9B88CEC2D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129</xdr:row>
      <xdr:rowOff>196272</xdr:rowOff>
    </xdr:from>
    <xdr:to>
      <xdr:col>8</xdr:col>
      <xdr:colOff>2320636</xdr:colOff>
      <xdr:row>129</xdr:row>
      <xdr:rowOff>346363</xdr:rowOff>
    </xdr:to>
    <xdr:sp macro="" textlink="">
      <xdr:nvSpPr>
        <xdr:cNvPr id="742" name="Isosceles Triangle 741">
          <a:extLst>
            <a:ext uri="{FF2B5EF4-FFF2-40B4-BE49-F238E27FC236}">
              <a16:creationId xmlns:a16="http://schemas.microsoft.com/office/drawing/2014/main" id="{67F27076-FF97-4A87-BBF2-49216FF5B417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128</xdr:row>
      <xdr:rowOff>196272</xdr:rowOff>
    </xdr:from>
    <xdr:to>
      <xdr:col>8</xdr:col>
      <xdr:colOff>2320636</xdr:colOff>
      <xdr:row>128</xdr:row>
      <xdr:rowOff>346363</xdr:rowOff>
    </xdr:to>
    <xdr:sp macro="" textlink="">
      <xdr:nvSpPr>
        <xdr:cNvPr id="743" name="Isosceles Triangle 742">
          <a:extLst>
            <a:ext uri="{FF2B5EF4-FFF2-40B4-BE49-F238E27FC236}">
              <a16:creationId xmlns:a16="http://schemas.microsoft.com/office/drawing/2014/main" id="{881DB1A9-9FED-4AC3-98AD-9E410CB8C578}"/>
            </a:ext>
          </a:extLst>
        </xdr:cNvPr>
        <xdr:cNvSpPr/>
      </xdr:nvSpPr>
      <xdr:spPr>
        <a:xfrm rot="10800000">
          <a:off x="106218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128</xdr:row>
      <xdr:rowOff>196272</xdr:rowOff>
    </xdr:from>
    <xdr:to>
      <xdr:col>8</xdr:col>
      <xdr:colOff>2320636</xdr:colOff>
      <xdr:row>128</xdr:row>
      <xdr:rowOff>346363</xdr:rowOff>
    </xdr:to>
    <xdr:sp macro="" textlink="">
      <xdr:nvSpPr>
        <xdr:cNvPr id="744" name="Isosceles Triangle 743">
          <a:extLst>
            <a:ext uri="{FF2B5EF4-FFF2-40B4-BE49-F238E27FC236}">
              <a16:creationId xmlns:a16="http://schemas.microsoft.com/office/drawing/2014/main" id="{73E11DCE-0B95-418C-AB64-99C83674D47D}"/>
            </a:ext>
          </a:extLst>
        </xdr:cNvPr>
        <xdr:cNvSpPr/>
      </xdr:nvSpPr>
      <xdr:spPr>
        <a:xfrm rot="10800000">
          <a:off x="106218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745" name="Isosceles Triangle 744">
          <a:extLst>
            <a:ext uri="{FF2B5EF4-FFF2-40B4-BE49-F238E27FC236}">
              <a16:creationId xmlns:a16="http://schemas.microsoft.com/office/drawing/2014/main" id="{AD769A20-C505-4882-B906-6E772918445B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746" name="Isosceles Triangle 745">
          <a:extLst>
            <a:ext uri="{FF2B5EF4-FFF2-40B4-BE49-F238E27FC236}">
              <a16:creationId xmlns:a16="http://schemas.microsoft.com/office/drawing/2014/main" id="{4FE302D7-52C0-43B7-ADF3-94A81E38307F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93</xdr:row>
      <xdr:rowOff>196272</xdr:rowOff>
    </xdr:from>
    <xdr:to>
      <xdr:col>8</xdr:col>
      <xdr:colOff>2320636</xdr:colOff>
      <xdr:row>93</xdr:row>
      <xdr:rowOff>346363</xdr:rowOff>
    </xdr:to>
    <xdr:sp macro="" textlink="">
      <xdr:nvSpPr>
        <xdr:cNvPr id="747" name="Isosceles Triangle 746">
          <a:extLst>
            <a:ext uri="{FF2B5EF4-FFF2-40B4-BE49-F238E27FC236}">
              <a16:creationId xmlns:a16="http://schemas.microsoft.com/office/drawing/2014/main" id="{647E4B85-A945-4372-80D6-5DF1DD5E2BC5}"/>
            </a:ext>
          </a:extLst>
        </xdr:cNvPr>
        <xdr:cNvSpPr/>
      </xdr:nvSpPr>
      <xdr:spPr>
        <a:xfrm rot="10800000">
          <a:off x="10621817" y="5271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93</xdr:row>
      <xdr:rowOff>196272</xdr:rowOff>
    </xdr:from>
    <xdr:to>
      <xdr:col>8</xdr:col>
      <xdr:colOff>2320636</xdr:colOff>
      <xdr:row>93</xdr:row>
      <xdr:rowOff>346363</xdr:rowOff>
    </xdr:to>
    <xdr:sp macro="" textlink="">
      <xdr:nvSpPr>
        <xdr:cNvPr id="748" name="Isosceles Triangle 747">
          <a:extLst>
            <a:ext uri="{FF2B5EF4-FFF2-40B4-BE49-F238E27FC236}">
              <a16:creationId xmlns:a16="http://schemas.microsoft.com/office/drawing/2014/main" id="{3082885A-964D-4CC4-BFD7-18969E957168}"/>
            </a:ext>
          </a:extLst>
        </xdr:cNvPr>
        <xdr:cNvSpPr/>
      </xdr:nvSpPr>
      <xdr:spPr>
        <a:xfrm rot="10800000">
          <a:off x="10621817" y="5271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93</xdr:row>
      <xdr:rowOff>196272</xdr:rowOff>
    </xdr:from>
    <xdr:to>
      <xdr:col>8</xdr:col>
      <xdr:colOff>2320636</xdr:colOff>
      <xdr:row>93</xdr:row>
      <xdr:rowOff>346363</xdr:rowOff>
    </xdr:to>
    <xdr:sp macro="" textlink="">
      <xdr:nvSpPr>
        <xdr:cNvPr id="749" name="Isosceles Triangle 748">
          <a:extLst>
            <a:ext uri="{FF2B5EF4-FFF2-40B4-BE49-F238E27FC236}">
              <a16:creationId xmlns:a16="http://schemas.microsoft.com/office/drawing/2014/main" id="{6F81FB33-9204-4105-9654-1A93C58F3E4A}"/>
            </a:ext>
          </a:extLst>
        </xdr:cNvPr>
        <xdr:cNvSpPr/>
      </xdr:nvSpPr>
      <xdr:spPr>
        <a:xfrm rot="10800000">
          <a:off x="10621817" y="5271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93</xdr:row>
      <xdr:rowOff>196272</xdr:rowOff>
    </xdr:from>
    <xdr:to>
      <xdr:col>8</xdr:col>
      <xdr:colOff>2320636</xdr:colOff>
      <xdr:row>93</xdr:row>
      <xdr:rowOff>346363</xdr:rowOff>
    </xdr:to>
    <xdr:sp macro="" textlink="">
      <xdr:nvSpPr>
        <xdr:cNvPr id="750" name="Isosceles Triangle 749">
          <a:extLst>
            <a:ext uri="{FF2B5EF4-FFF2-40B4-BE49-F238E27FC236}">
              <a16:creationId xmlns:a16="http://schemas.microsoft.com/office/drawing/2014/main" id="{C39C9A75-39BF-482C-BD62-7631A3578D1E}"/>
            </a:ext>
          </a:extLst>
        </xdr:cNvPr>
        <xdr:cNvSpPr/>
      </xdr:nvSpPr>
      <xdr:spPr>
        <a:xfrm rot="10800000">
          <a:off x="10621817" y="5271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751" name="Isosceles Triangle 750">
          <a:extLst>
            <a:ext uri="{FF2B5EF4-FFF2-40B4-BE49-F238E27FC236}">
              <a16:creationId xmlns:a16="http://schemas.microsoft.com/office/drawing/2014/main" id="{D871A308-76F9-408D-A052-DC59974979E5}"/>
            </a:ext>
          </a:extLst>
        </xdr:cNvPr>
        <xdr:cNvSpPr/>
      </xdr:nvSpPr>
      <xdr:spPr>
        <a:xfrm rot="10800000">
          <a:off x="10621817" y="5213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752" name="Isosceles Triangle 751">
          <a:extLst>
            <a:ext uri="{FF2B5EF4-FFF2-40B4-BE49-F238E27FC236}">
              <a16:creationId xmlns:a16="http://schemas.microsoft.com/office/drawing/2014/main" id="{8FE5AB4F-8594-4C76-BB70-DBF601EA1DDF}"/>
            </a:ext>
          </a:extLst>
        </xdr:cNvPr>
        <xdr:cNvSpPr/>
      </xdr:nvSpPr>
      <xdr:spPr>
        <a:xfrm rot="10800000">
          <a:off x="10621817" y="5213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753" name="Isosceles Triangle 752">
          <a:extLst>
            <a:ext uri="{FF2B5EF4-FFF2-40B4-BE49-F238E27FC236}">
              <a16:creationId xmlns:a16="http://schemas.microsoft.com/office/drawing/2014/main" id="{EB6F6C9F-F904-457E-B725-6CBD9F904665}"/>
            </a:ext>
          </a:extLst>
        </xdr:cNvPr>
        <xdr:cNvSpPr/>
      </xdr:nvSpPr>
      <xdr:spPr>
        <a:xfrm rot="10800000">
          <a:off x="10621817" y="5213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754" name="Isosceles Triangle 753">
          <a:extLst>
            <a:ext uri="{FF2B5EF4-FFF2-40B4-BE49-F238E27FC236}">
              <a16:creationId xmlns:a16="http://schemas.microsoft.com/office/drawing/2014/main" id="{D985210B-2DA7-431F-AB2F-0920542B1EE1}"/>
            </a:ext>
          </a:extLst>
        </xdr:cNvPr>
        <xdr:cNvSpPr/>
      </xdr:nvSpPr>
      <xdr:spPr>
        <a:xfrm rot="10800000">
          <a:off x="10621817" y="5213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755" name="Isosceles Triangle 754">
          <a:extLst>
            <a:ext uri="{FF2B5EF4-FFF2-40B4-BE49-F238E27FC236}">
              <a16:creationId xmlns:a16="http://schemas.microsoft.com/office/drawing/2014/main" id="{6BAD45D7-A1B6-4080-A7D2-88B910B3D54D}"/>
            </a:ext>
          </a:extLst>
        </xdr:cNvPr>
        <xdr:cNvSpPr/>
      </xdr:nvSpPr>
      <xdr:spPr>
        <a:xfrm rot="10800000">
          <a:off x="10621817" y="5213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756" name="Isosceles Triangle 755">
          <a:extLst>
            <a:ext uri="{FF2B5EF4-FFF2-40B4-BE49-F238E27FC236}">
              <a16:creationId xmlns:a16="http://schemas.microsoft.com/office/drawing/2014/main" id="{E9644833-ACAC-4BCB-B14F-9C09B2BCAF06}"/>
            </a:ext>
          </a:extLst>
        </xdr:cNvPr>
        <xdr:cNvSpPr/>
      </xdr:nvSpPr>
      <xdr:spPr>
        <a:xfrm rot="10800000">
          <a:off x="10621817" y="5213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757" name="Isosceles Triangle 756">
          <a:extLst>
            <a:ext uri="{FF2B5EF4-FFF2-40B4-BE49-F238E27FC236}">
              <a16:creationId xmlns:a16="http://schemas.microsoft.com/office/drawing/2014/main" id="{747A416C-8FC0-4BE1-A0F2-4C29442FF983}"/>
            </a:ext>
          </a:extLst>
        </xdr:cNvPr>
        <xdr:cNvSpPr/>
      </xdr:nvSpPr>
      <xdr:spPr>
        <a:xfrm rot="10800000">
          <a:off x="10621817" y="5213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758" name="Isosceles Triangle 757">
          <a:extLst>
            <a:ext uri="{FF2B5EF4-FFF2-40B4-BE49-F238E27FC236}">
              <a16:creationId xmlns:a16="http://schemas.microsoft.com/office/drawing/2014/main" id="{0DA46ADE-D90A-470B-8B33-D1E2C1138A3E}"/>
            </a:ext>
          </a:extLst>
        </xdr:cNvPr>
        <xdr:cNvSpPr/>
      </xdr:nvSpPr>
      <xdr:spPr>
        <a:xfrm rot="10800000">
          <a:off x="10621817" y="5213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93</xdr:row>
      <xdr:rowOff>196272</xdr:rowOff>
    </xdr:from>
    <xdr:to>
      <xdr:col>8</xdr:col>
      <xdr:colOff>2320636</xdr:colOff>
      <xdr:row>93</xdr:row>
      <xdr:rowOff>346363</xdr:rowOff>
    </xdr:to>
    <xdr:sp macro="" textlink="">
      <xdr:nvSpPr>
        <xdr:cNvPr id="759" name="Isosceles Triangle 758">
          <a:extLst>
            <a:ext uri="{FF2B5EF4-FFF2-40B4-BE49-F238E27FC236}">
              <a16:creationId xmlns:a16="http://schemas.microsoft.com/office/drawing/2014/main" id="{14B20D7F-D88C-4805-926B-FCD59ABFB591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93</xdr:row>
      <xdr:rowOff>196272</xdr:rowOff>
    </xdr:from>
    <xdr:to>
      <xdr:col>8</xdr:col>
      <xdr:colOff>2320636</xdr:colOff>
      <xdr:row>93</xdr:row>
      <xdr:rowOff>346363</xdr:rowOff>
    </xdr:to>
    <xdr:sp macro="" textlink="">
      <xdr:nvSpPr>
        <xdr:cNvPr id="760" name="Isosceles Triangle 759">
          <a:extLst>
            <a:ext uri="{FF2B5EF4-FFF2-40B4-BE49-F238E27FC236}">
              <a16:creationId xmlns:a16="http://schemas.microsoft.com/office/drawing/2014/main" id="{811EA750-275C-482D-BB99-B3916466A275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82</xdr:row>
      <xdr:rowOff>196272</xdr:rowOff>
    </xdr:from>
    <xdr:to>
      <xdr:col>8</xdr:col>
      <xdr:colOff>2320636</xdr:colOff>
      <xdr:row>82</xdr:row>
      <xdr:rowOff>346363</xdr:rowOff>
    </xdr:to>
    <xdr:sp macro="" textlink="">
      <xdr:nvSpPr>
        <xdr:cNvPr id="761" name="Isosceles Triangle 760">
          <a:extLst>
            <a:ext uri="{FF2B5EF4-FFF2-40B4-BE49-F238E27FC236}">
              <a16:creationId xmlns:a16="http://schemas.microsoft.com/office/drawing/2014/main" id="{4C9E3504-C476-4211-8DD8-67936155E48C}"/>
            </a:ext>
          </a:extLst>
        </xdr:cNvPr>
        <xdr:cNvSpPr/>
      </xdr:nvSpPr>
      <xdr:spPr>
        <a:xfrm rot="10800000">
          <a:off x="10621817" y="4528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82</xdr:row>
      <xdr:rowOff>196272</xdr:rowOff>
    </xdr:from>
    <xdr:to>
      <xdr:col>8</xdr:col>
      <xdr:colOff>2320636</xdr:colOff>
      <xdr:row>82</xdr:row>
      <xdr:rowOff>346363</xdr:rowOff>
    </xdr:to>
    <xdr:sp macro="" textlink="">
      <xdr:nvSpPr>
        <xdr:cNvPr id="762" name="Isosceles Triangle 761">
          <a:extLst>
            <a:ext uri="{FF2B5EF4-FFF2-40B4-BE49-F238E27FC236}">
              <a16:creationId xmlns:a16="http://schemas.microsoft.com/office/drawing/2014/main" id="{23F9AE27-C967-473A-905E-7092B4ADC65C}"/>
            </a:ext>
          </a:extLst>
        </xdr:cNvPr>
        <xdr:cNvSpPr/>
      </xdr:nvSpPr>
      <xdr:spPr>
        <a:xfrm rot="10800000">
          <a:off x="10621817" y="4528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79</xdr:row>
      <xdr:rowOff>196272</xdr:rowOff>
    </xdr:from>
    <xdr:to>
      <xdr:col>8</xdr:col>
      <xdr:colOff>2320636</xdr:colOff>
      <xdr:row>79</xdr:row>
      <xdr:rowOff>346363</xdr:rowOff>
    </xdr:to>
    <xdr:sp macro="" textlink="">
      <xdr:nvSpPr>
        <xdr:cNvPr id="763" name="Isosceles Triangle 762">
          <a:extLst>
            <a:ext uri="{FF2B5EF4-FFF2-40B4-BE49-F238E27FC236}">
              <a16:creationId xmlns:a16="http://schemas.microsoft.com/office/drawing/2014/main" id="{2958F0B1-6000-4ED3-A85B-F46C946DC9B3}"/>
            </a:ext>
          </a:extLst>
        </xdr:cNvPr>
        <xdr:cNvSpPr/>
      </xdr:nvSpPr>
      <xdr:spPr>
        <a:xfrm rot="10800000">
          <a:off x="10621817" y="4470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79</xdr:row>
      <xdr:rowOff>196272</xdr:rowOff>
    </xdr:from>
    <xdr:to>
      <xdr:col>8</xdr:col>
      <xdr:colOff>2320636</xdr:colOff>
      <xdr:row>79</xdr:row>
      <xdr:rowOff>346363</xdr:rowOff>
    </xdr:to>
    <xdr:sp macro="" textlink="">
      <xdr:nvSpPr>
        <xdr:cNvPr id="764" name="Isosceles Triangle 763">
          <a:extLst>
            <a:ext uri="{FF2B5EF4-FFF2-40B4-BE49-F238E27FC236}">
              <a16:creationId xmlns:a16="http://schemas.microsoft.com/office/drawing/2014/main" id="{C82DAB8C-B342-40D1-A910-BBC38F4233F0}"/>
            </a:ext>
          </a:extLst>
        </xdr:cNvPr>
        <xdr:cNvSpPr/>
      </xdr:nvSpPr>
      <xdr:spPr>
        <a:xfrm rot="10800000">
          <a:off x="10621817" y="4470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82</xdr:row>
      <xdr:rowOff>196272</xdr:rowOff>
    </xdr:from>
    <xdr:to>
      <xdr:col>8</xdr:col>
      <xdr:colOff>2320636</xdr:colOff>
      <xdr:row>82</xdr:row>
      <xdr:rowOff>346363</xdr:rowOff>
    </xdr:to>
    <xdr:sp macro="" textlink="">
      <xdr:nvSpPr>
        <xdr:cNvPr id="765" name="Isosceles Triangle 764">
          <a:extLst>
            <a:ext uri="{FF2B5EF4-FFF2-40B4-BE49-F238E27FC236}">
              <a16:creationId xmlns:a16="http://schemas.microsoft.com/office/drawing/2014/main" id="{BB0B9415-B744-4B65-8FE2-51EEE279F6A2}"/>
            </a:ext>
          </a:extLst>
        </xdr:cNvPr>
        <xdr:cNvSpPr/>
      </xdr:nvSpPr>
      <xdr:spPr>
        <a:xfrm rot="10800000">
          <a:off x="10621817" y="4528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82</xdr:row>
      <xdr:rowOff>196272</xdr:rowOff>
    </xdr:from>
    <xdr:to>
      <xdr:col>8</xdr:col>
      <xdr:colOff>2320636</xdr:colOff>
      <xdr:row>82</xdr:row>
      <xdr:rowOff>346363</xdr:rowOff>
    </xdr:to>
    <xdr:sp macro="" textlink="">
      <xdr:nvSpPr>
        <xdr:cNvPr id="766" name="Isosceles Triangle 765">
          <a:extLst>
            <a:ext uri="{FF2B5EF4-FFF2-40B4-BE49-F238E27FC236}">
              <a16:creationId xmlns:a16="http://schemas.microsoft.com/office/drawing/2014/main" id="{CC9447B1-9136-410E-B143-12A9A6F9A456}"/>
            </a:ext>
          </a:extLst>
        </xdr:cNvPr>
        <xdr:cNvSpPr/>
      </xdr:nvSpPr>
      <xdr:spPr>
        <a:xfrm rot="10800000">
          <a:off x="10621817" y="4528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79</xdr:row>
      <xdr:rowOff>196272</xdr:rowOff>
    </xdr:from>
    <xdr:to>
      <xdr:col>10</xdr:col>
      <xdr:colOff>2320636</xdr:colOff>
      <xdr:row>79</xdr:row>
      <xdr:rowOff>346363</xdr:rowOff>
    </xdr:to>
    <xdr:sp macro="" textlink="">
      <xdr:nvSpPr>
        <xdr:cNvPr id="767" name="Isosceles Triangle 766">
          <a:extLst>
            <a:ext uri="{FF2B5EF4-FFF2-40B4-BE49-F238E27FC236}">
              <a16:creationId xmlns:a16="http://schemas.microsoft.com/office/drawing/2014/main" id="{9EEFAE13-3704-4999-B699-98D99AAD4CFA}"/>
            </a:ext>
          </a:extLst>
        </xdr:cNvPr>
        <xdr:cNvSpPr/>
      </xdr:nvSpPr>
      <xdr:spPr>
        <a:xfrm rot="10800000">
          <a:off x="14088917" y="4470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80</xdr:row>
      <xdr:rowOff>196272</xdr:rowOff>
    </xdr:from>
    <xdr:to>
      <xdr:col>10</xdr:col>
      <xdr:colOff>2320636</xdr:colOff>
      <xdr:row>80</xdr:row>
      <xdr:rowOff>346363</xdr:rowOff>
    </xdr:to>
    <xdr:sp macro="" textlink="">
      <xdr:nvSpPr>
        <xdr:cNvPr id="440" name="Isosceles Triangle 439">
          <a:extLst>
            <a:ext uri="{FF2B5EF4-FFF2-40B4-BE49-F238E27FC236}">
              <a16:creationId xmlns:a16="http://schemas.microsoft.com/office/drawing/2014/main" id="{E942F550-AC48-4197-8CC7-0A8E7D7F5C71}"/>
            </a:ext>
          </a:extLst>
        </xdr:cNvPr>
        <xdr:cNvSpPr/>
      </xdr:nvSpPr>
      <xdr:spPr>
        <a:xfrm rot="10800000">
          <a:off x="14088917" y="4585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82</xdr:row>
      <xdr:rowOff>196272</xdr:rowOff>
    </xdr:from>
    <xdr:to>
      <xdr:col>10</xdr:col>
      <xdr:colOff>2320636</xdr:colOff>
      <xdr:row>82</xdr:row>
      <xdr:rowOff>346363</xdr:rowOff>
    </xdr:to>
    <xdr:sp macro="" textlink="">
      <xdr:nvSpPr>
        <xdr:cNvPr id="441" name="Isosceles Triangle 440">
          <a:extLst>
            <a:ext uri="{FF2B5EF4-FFF2-40B4-BE49-F238E27FC236}">
              <a16:creationId xmlns:a16="http://schemas.microsoft.com/office/drawing/2014/main" id="{84E2299C-CAA2-4C50-B63A-68ED57D9D113}"/>
            </a:ext>
          </a:extLst>
        </xdr:cNvPr>
        <xdr:cNvSpPr/>
      </xdr:nvSpPr>
      <xdr:spPr>
        <a:xfrm rot="10800000">
          <a:off x="14088917" y="4528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80</xdr:row>
      <xdr:rowOff>196272</xdr:rowOff>
    </xdr:from>
    <xdr:to>
      <xdr:col>8</xdr:col>
      <xdr:colOff>2320636</xdr:colOff>
      <xdr:row>80</xdr:row>
      <xdr:rowOff>346363</xdr:rowOff>
    </xdr:to>
    <xdr:sp macro="" textlink="">
      <xdr:nvSpPr>
        <xdr:cNvPr id="442" name="Isosceles Triangle 441">
          <a:extLst>
            <a:ext uri="{FF2B5EF4-FFF2-40B4-BE49-F238E27FC236}">
              <a16:creationId xmlns:a16="http://schemas.microsoft.com/office/drawing/2014/main" id="{F346E7FD-651B-4CAC-989E-7E67E8B72B54}"/>
            </a:ext>
          </a:extLst>
        </xdr:cNvPr>
        <xdr:cNvSpPr/>
      </xdr:nvSpPr>
      <xdr:spPr>
        <a:xfrm rot="10800000">
          <a:off x="10621817" y="4528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80</xdr:row>
      <xdr:rowOff>196272</xdr:rowOff>
    </xdr:from>
    <xdr:to>
      <xdr:col>8</xdr:col>
      <xdr:colOff>2320636</xdr:colOff>
      <xdr:row>80</xdr:row>
      <xdr:rowOff>346363</xdr:rowOff>
    </xdr:to>
    <xdr:sp macro="" textlink="">
      <xdr:nvSpPr>
        <xdr:cNvPr id="443" name="Isosceles Triangle 442">
          <a:extLst>
            <a:ext uri="{FF2B5EF4-FFF2-40B4-BE49-F238E27FC236}">
              <a16:creationId xmlns:a16="http://schemas.microsoft.com/office/drawing/2014/main" id="{DA017B95-FD51-4F8C-B6B7-4F464555A2FB}"/>
            </a:ext>
          </a:extLst>
        </xdr:cNvPr>
        <xdr:cNvSpPr/>
      </xdr:nvSpPr>
      <xdr:spPr>
        <a:xfrm rot="10800000">
          <a:off x="10621817" y="4528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81</xdr:row>
      <xdr:rowOff>196272</xdr:rowOff>
    </xdr:from>
    <xdr:to>
      <xdr:col>8</xdr:col>
      <xdr:colOff>2320636</xdr:colOff>
      <xdr:row>81</xdr:row>
      <xdr:rowOff>346363</xdr:rowOff>
    </xdr:to>
    <xdr:sp macro="" textlink="">
      <xdr:nvSpPr>
        <xdr:cNvPr id="444" name="Isosceles Triangle 443">
          <a:extLst>
            <a:ext uri="{FF2B5EF4-FFF2-40B4-BE49-F238E27FC236}">
              <a16:creationId xmlns:a16="http://schemas.microsoft.com/office/drawing/2014/main" id="{2EAD7940-DEF6-49F5-90FC-2A8134EE725D}"/>
            </a:ext>
          </a:extLst>
        </xdr:cNvPr>
        <xdr:cNvSpPr/>
      </xdr:nvSpPr>
      <xdr:spPr>
        <a:xfrm rot="10800000">
          <a:off x="10621817" y="4413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81</xdr:row>
      <xdr:rowOff>196272</xdr:rowOff>
    </xdr:from>
    <xdr:to>
      <xdr:col>8</xdr:col>
      <xdr:colOff>2320636</xdr:colOff>
      <xdr:row>81</xdr:row>
      <xdr:rowOff>346363</xdr:rowOff>
    </xdr:to>
    <xdr:sp macro="" textlink="">
      <xdr:nvSpPr>
        <xdr:cNvPr id="445" name="Isosceles Triangle 444">
          <a:extLst>
            <a:ext uri="{FF2B5EF4-FFF2-40B4-BE49-F238E27FC236}">
              <a16:creationId xmlns:a16="http://schemas.microsoft.com/office/drawing/2014/main" id="{A174F0A5-E299-4782-A397-3E0FB92F34BC}"/>
            </a:ext>
          </a:extLst>
        </xdr:cNvPr>
        <xdr:cNvSpPr/>
      </xdr:nvSpPr>
      <xdr:spPr>
        <a:xfrm rot="10800000">
          <a:off x="10621817" y="4413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81</xdr:row>
      <xdr:rowOff>196272</xdr:rowOff>
    </xdr:from>
    <xdr:to>
      <xdr:col>8</xdr:col>
      <xdr:colOff>2320636</xdr:colOff>
      <xdr:row>81</xdr:row>
      <xdr:rowOff>346363</xdr:rowOff>
    </xdr:to>
    <xdr:sp macro="" textlink="">
      <xdr:nvSpPr>
        <xdr:cNvPr id="446" name="Isosceles Triangle 445">
          <a:extLst>
            <a:ext uri="{FF2B5EF4-FFF2-40B4-BE49-F238E27FC236}">
              <a16:creationId xmlns:a16="http://schemas.microsoft.com/office/drawing/2014/main" id="{7FDA98BC-1582-418F-A4A2-A20E1C3FEB3E}"/>
            </a:ext>
          </a:extLst>
        </xdr:cNvPr>
        <xdr:cNvSpPr/>
      </xdr:nvSpPr>
      <xdr:spPr>
        <a:xfrm rot="10800000">
          <a:off x="10621817" y="4413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81</xdr:row>
      <xdr:rowOff>196272</xdr:rowOff>
    </xdr:from>
    <xdr:to>
      <xdr:col>8</xdr:col>
      <xdr:colOff>2320636</xdr:colOff>
      <xdr:row>81</xdr:row>
      <xdr:rowOff>346363</xdr:rowOff>
    </xdr:to>
    <xdr:sp macro="" textlink="">
      <xdr:nvSpPr>
        <xdr:cNvPr id="447" name="Isosceles Triangle 446">
          <a:extLst>
            <a:ext uri="{FF2B5EF4-FFF2-40B4-BE49-F238E27FC236}">
              <a16:creationId xmlns:a16="http://schemas.microsoft.com/office/drawing/2014/main" id="{C0D5D315-83B1-4F74-A9F3-A23F79612EBC}"/>
            </a:ext>
          </a:extLst>
        </xdr:cNvPr>
        <xdr:cNvSpPr/>
      </xdr:nvSpPr>
      <xdr:spPr>
        <a:xfrm rot="10800000">
          <a:off x="10621817" y="4413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81</xdr:row>
      <xdr:rowOff>196272</xdr:rowOff>
    </xdr:from>
    <xdr:to>
      <xdr:col>10</xdr:col>
      <xdr:colOff>2320636</xdr:colOff>
      <xdr:row>81</xdr:row>
      <xdr:rowOff>346363</xdr:rowOff>
    </xdr:to>
    <xdr:sp macro="" textlink="">
      <xdr:nvSpPr>
        <xdr:cNvPr id="768" name="Isosceles Triangle 767">
          <a:extLst>
            <a:ext uri="{FF2B5EF4-FFF2-40B4-BE49-F238E27FC236}">
              <a16:creationId xmlns:a16="http://schemas.microsoft.com/office/drawing/2014/main" id="{6B95C5E7-7888-43BB-B1F3-6B831FB7DF53}"/>
            </a:ext>
          </a:extLst>
        </xdr:cNvPr>
        <xdr:cNvSpPr/>
      </xdr:nvSpPr>
      <xdr:spPr>
        <a:xfrm rot="10800000">
          <a:off x="14088917" y="4470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81</xdr:row>
      <xdr:rowOff>196272</xdr:rowOff>
    </xdr:from>
    <xdr:to>
      <xdr:col>10</xdr:col>
      <xdr:colOff>2320636</xdr:colOff>
      <xdr:row>81</xdr:row>
      <xdr:rowOff>346363</xdr:rowOff>
    </xdr:to>
    <xdr:sp macro="" textlink="">
      <xdr:nvSpPr>
        <xdr:cNvPr id="769" name="Isosceles Triangle 768">
          <a:extLst>
            <a:ext uri="{FF2B5EF4-FFF2-40B4-BE49-F238E27FC236}">
              <a16:creationId xmlns:a16="http://schemas.microsoft.com/office/drawing/2014/main" id="{7BA6BE7A-51D6-47D3-8C16-F3F13708C0AA}"/>
            </a:ext>
          </a:extLst>
        </xdr:cNvPr>
        <xdr:cNvSpPr/>
      </xdr:nvSpPr>
      <xdr:spPr>
        <a:xfrm rot="10800000">
          <a:off x="14088917" y="4470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80</xdr:row>
      <xdr:rowOff>196272</xdr:rowOff>
    </xdr:from>
    <xdr:to>
      <xdr:col>10</xdr:col>
      <xdr:colOff>2320636</xdr:colOff>
      <xdr:row>80</xdr:row>
      <xdr:rowOff>346363</xdr:rowOff>
    </xdr:to>
    <xdr:sp macro="" textlink="">
      <xdr:nvSpPr>
        <xdr:cNvPr id="770" name="Isosceles Triangle 769">
          <a:extLst>
            <a:ext uri="{FF2B5EF4-FFF2-40B4-BE49-F238E27FC236}">
              <a16:creationId xmlns:a16="http://schemas.microsoft.com/office/drawing/2014/main" id="{BF18A0BE-A8DB-4EE1-B00A-B7AF183C698E}"/>
            </a:ext>
          </a:extLst>
        </xdr:cNvPr>
        <xdr:cNvSpPr/>
      </xdr:nvSpPr>
      <xdr:spPr>
        <a:xfrm rot="10800000">
          <a:off x="14088917" y="4585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80</xdr:row>
      <xdr:rowOff>196272</xdr:rowOff>
    </xdr:from>
    <xdr:to>
      <xdr:col>10</xdr:col>
      <xdr:colOff>2320636</xdr:colOff>
      <xdr:row>80</xdr:row>
      <xdr:rowOff>346363</xdr:rowOff>
    </xdr:to>
    <xdr:sp macro="" textlink="">
      <xdr:nvSpPr>
        <xdr:cNvPr id="771" name="Isosceles Triangle 770">
          <a:extLst>
            <a:ext uri="{FF2B5EF4-FFF2-40B4-BE49-F238E27FC236}">
              <a16:creationId xmlns:a16="http://schemas.microsoft.com/office/drawing/2014/main" id="{F53B9CCF-CCCF-41A1-B3AD-5420D7822519}"/>
            </a:ext>
          </a:extLst>
        </xdr:cNvPr>
        <xdr:cNvSpPr/>
      </xdr:nvSpPr>
      <xdr:spPr>
        <a:xfrm rot="10800000">
          <a:off x="14088917" y="4585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134</xdr:row>
      <xdr:rowOff>196272</xdr:rowOff>
    </xdr:from>
    <xdr:to>
      <xdr:col>8</xdr:col>
      <xdr:colOff>2320636</xdr:colOff>
      <xdr:row>134</xdr:row>
      <xdr:rowOff>346363</xdr:rowOff>
    </xdr:to>
    <xdr:sp macro="" textlink="">
      <xdr:nvSpPr>
        <xdr:cNvPr id="772" name="Isosceles Triangle 771">
          <a:extLst>
            <a:ext uri="{FF2B5EF4-FFF2-40B4-BE49-F238E27FC236}">
              <a16:creationId xmlns:a16="http://schemas.microsoft.com/office/drawing/2014/main" id="{0A52D703-FB5E-4ACE-B835-158608D6BD06}"/>
            </a:ext>
          </a:extLst>
        </xdr:cNvPr>
        <xdr:cNvSpPr/>
      </xdr:nvSpPr>
      <xdr:spPr>
        <a:xfrm rot="10800000">
          <a:off x="10621817" y="7499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134</xdr:row>
      <xdr:rowOff>196272</xdr:rowOff>
    </xdr:from>
    <xdr:to>
      <xdr:col>8</xdr:col>
      <xdr:colOff>2320636</xdr:colOff>
      <xdr:row>134</xdr:row>
      <xdr:rowOff>346363</xdr:rowOff>
    </xdr:to>
    <xdr:sp macro="" textlink="">
      <xdr:nvSpPr>
        <xdr:cNvPr id="773" name="Isosceles Triangle 772">
          <a:extLst>
            <a:ext uri="{FF2B5EF4-FFF2-40B4-BE49-F238E27FC236}">
              <a16:creationId xmlns:a16="http://schemas.microsoft.com/office/drawing/2014/main" id="{3F1604AE-50CF-4947-83E5-148DB3945602}"/>
            </a:ext>
          </a:extLst>
        </xdr:cNvPr>
        <xdr:cNvSpPr/>
      </xdr:nvSpPr>
      <xdr:spPr>
        <a:xfrm rot="10800000">
          <a:off x="10621817" y="7499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133</xdr:row>
      <xdr:rowOff>196272</xdr:rowOff>
    </xdr:from>
    <xdr:to>
      <xdr:col>8</xdr:col>
      <xdr:colOff>2320636</xdr:colOff>
      <xdr:row>133</xdr:row>
      <xdr:rowOff>346363</xdr:rowOff>
    </xdr:to>
    <xdr:sp macro="" textlink="">
      <xdr:nvSpPr>
        <xdr:cNvPr id="774" name="Isosceles Triangle 773">
          <a:extLst>
            <a:ext uri="{FF2B5EF4-FFF2-40B4-BE49-F238E27FC236}">
              <a16:creationId xmlns:a16="http://schemas.microsoft.com/office/drawing/2014/main" id="{A9975F17-658D-445C-AF34-728FC8A6365D}"/>
            </a:ext>
          </a:extLst>
        </xdr:cNvPr>
        <xdr:cNvSpPr/>
      </xdr:nvSpPr>
      <xdr:spPr>
        <a:xfrm rot="10800000">
          <a:off x="10621817" y="7671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133</xdr:row>
      <xdr:rowOff>196272</xdr:rowOff>
    </xdr:from>
    <xdr:to>
      <xdr:col>8</xdr:col>
      <xdr:colOff>2320636</xdr:colOff>
      <xdr:row>133</xdr:row>
      <xdr:rowOff>346363</xdr:rowOff>
    </xdr:to>
    <xdr:sp macro="" textlink="">
      <xdr:nvSpPr>
        <xdr:cNvPr id="775" name="Isosceles Triangle 774">
          <a:extLst>
            <a:ext uri="{FF2B5EF4-FFF2-40B4-BE49-F238E27FC236}">
              <a16:creationId xmlns:a16="http://schemas.microsoft.com/office/drawing/2014/main" id="{12F6D82D-B133-4BC9-84EE-26DF95790420}"/>
            </a:ext>
          </a:extLst>
        </xdr:cNvPr>
        <xdr:cNvSpPr/>
      </xdr:nvSpPr>
      <xdr:spPr>
        <a:xfrm rot="10800000">
          <a:off x="10621817" y="7671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135</xdr:row>
      <xdr:rowOff>196272</xdr:rowOff>
    </xdr:from>
    <xdr:to>
      <xdr:col>8</xdr:col>
      <xdr:colOff>2320636</xdr:colOff>
      <xdr:row>135</xdr:row>
      <xdr:rowOff>346363</xdr:rowOff>
    </xdr:to>
    <xdr:sp macro="" textlink="">
      <xdr:nvSpPr>
        <xdr:cNvPr id="776" name="Isosceles Triangle 775">
          <a:extLst>
            <a:ext uri="{FF2B5EF4-FFF2-40B4-BE49-F238E27FC236}">
              <a16:creationId xmlns:a16="http://schemas.microsoft.com/office/drawing/2014/main" id="{480BDD8F-E168-49A3-B860-DE4DD971848C}"/>
            </a:ext>
          </a:extLst>
        </xdr:cNvPr>
        <xdr:cNvSpPr/>
      </xdr:nvSpPr>
      <xdr:spPr>
        <a:xfrm rot="10800000">
          <a:off x="10621817" y="7671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135</xdr:row>
      <xdr:rowOff>196272</xdr:rowOff>
    </xdr:from>
    <xdr:to>
      <xdr:col>8</xdr:col>
      <xdr:colOff>2320636</xdr:colOff>
      <xdr:row>135</xdr:row>
      <xdr:rowOff>346363</xdr:rowOff>
    </xdr:to>
    <xdr:sp macro="" textlink="">
      <xdr:nvSpPr>
        <xdr:cNvPr id="777" name="Isosceles Triangle 776">
          <a:extLst>
            <a:ext uri="{FF2B5EF4-FFF2-40B4-BE49-F238E27FC236}">
              <a16:creationId xmlns:a16="http://schemas.microsoft.com/office/drawing/2014/main" id="{D9CD2F7F-97E1-4C06-AB6E-B97777643188}"/>
            </a:ext>
          </a:extLst>
        </xdr:cNvPr>
        <xdr:cNvSpPr/>
      </xdr:nvSpPr>
      <xdr:spPr>
        <a:xfrm rot="10800000">
          <a:off x="10621817" y="7671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136</xdr:row>
      <xdr:rowOff>196272</xdr:rowOff>
    </xdr:from>
    <xdr:to>
      <xdr:col>8</xdr:col>
      <xdr:colOff>2320636</xdr:colOff>
      <xdr:row>136</xdr:row>
      <xdr:rowOff>346363</xdr:rowOff>
    </xdr:to>
    <xdr:sp macro="" textlink="">
      <xdr:nvSpPr>
        <xdr:cNvPr id="778" name="Isosceles Triangle 777">
          <a:extLst>
            <a:ext uri="{FF2B5EF4-FFF2-40B4-BE49-F238E27FC236}">
              <a16:creationId xmlns:a16="http://schemas.microsoft.com/office/drawing/2014/main" id="{4220D2F4-26C6-4860-AA7D-79C16E811701}"/>
            </a:ext>
          </a:extLst>
        </xdr:cNvPr>
        <xdr:cNvSpPr/>
      </xdr:nvSpPr>
      <xdr:spPr>
        <a:xfrm rot="10800000">
          <a:off x="10621817" y="7557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136</xdr:row>
      <xdr:rowOff>196272</xdr:rowOff>
    </xdr:from>
    <xdr:to>
      <xdr:col>8</xdr:col>
      <xdr:colOff>2320636</xdr:colOff>
      <xdr:row>136</xdr:row>
      <xdr:rowOff>346363</xdr:rowOff>
    </xdr:to>
    <xdr:sp macro="" textlink="">
      <xdr:nvSpPr>
        <xdr:cNvPr id="779" name="Isosceles Triangle 778">
          <a:extLst>
            <a:ext uri="{FF2B5EF4-FFF2-40B4-BE49-F238E27FC236}">
              <a16:creationId xmlns:a16="http://schemas.microsoft.com/office/drawing/2014/main" id="{11A3D7C9-63F8-4835-9178-8C412621958C}"/>
            </a:ext>
          </a:extLst>
        </xdr:cNvPr>
        <xdr:cNvSpPr/>
      </xdr:nvSpPr>
      <xdr:spPr>
        <a:xfrm rot="10800000">
          <a:off x="10621817" y="7557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136</xdr:row>
      <xdr:rowOff>196272</xdr:rowOff>
    </xdr:from>
    <xdr:to>
      <xdr:col>8</xdr:col>
      <xdr:colOff>2320636</xdr:colOff>
      <xdr:row>136</xdr:row>
      <xdr:rowOff>346363</xdr:rowOff>
    </xdr:to>
    <xdr:sp macro="" textlink="">
      <xdr:nvSpPr>
        <xdr:cNvPr id="780" name="Isosceles Triangle 779">
          <a:extLst>
            <a:ext uri="{FF2B5EF4-FFF2-40B4-BE49-F238E27FC236}">
              <a16:creationId xmlns:a16="http://schemas.microsoft.com/office/drawing/2014/main" id="{230A6830-8452-4BC8-9D28-72AEB160B6C9}"/>
            </a:ext>
          </a:extLst>
        </xdr:cNvPr>
        <xdr:cNvSpPr/>
      </xdr:nvSpPr>
      <xdr:spPr>
        <a:xfrm rot="10800000">
          <a:off x="10621817" y="7557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136</xdr:row>
      <xdr:rowOff>196272</xdr:rowOff>
    </xdr:from>
    <xdr:to>
      <xdr:col>8</xdr:col>
      <xdr:colOff>2320636</xdr:colOff>
      <xdr:row>136</xdr:row>
      <xdr:rowOff>346363</xdr:rowOff>
    </xdr:to>
    <xdr:sp macro="" textlink="">
      <xdr:nvSpPr>
        <xdr:cNvPr id="781" name="Isosceles Triangle 780">
          <a:extLst>
            <a:ext uri="{FF2B5EF4-FFF2-40B4-BE49-F238E27FC236}">
              <a16:creationId xmlns:a16="http://schemas.microsoft.com/office/drawing/2014/main" id="{EE8F6A8F-BA50-4A48-9624-407D708438D6}"/>
            </a:ext>
          </a:extLst>
        </xdr:cNvPr>
        <xdr:cNvSpPr/>
      </xdr:nvSpPr>
      <xdr:spPr>
        <a:xfrm rot="10800000">
          <a:off x="10621817" y="7557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782" name="Isosceles Triangle 781">
          <a:extLst>
            <a:ext uri="{FF2B5EF4-FFF2-40B4-BE49-F238E27FC236}">
              <a16:creationId xmlns:a16="http://schemas.microsoft.com/office/drawing/2014/main" id="{0DE12CA5-8160-4F83-93B7-A32A5B358DD9}"/>
            </a:ext>
          </a:extLst>
        </xdr:cNvPr>
        <xdr:cNvSpPr/>
      </xdr:nvSpPr>
      <xdr:spPr>
        <a:xfrm rot="10800000">
          <a:off x="14088917" y="5442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97</xdr:row>
      <xdr:rowOff>196272</xdr:rowOff>
    </xdr:from>
    <xdr:to>
      <xdr:col>10</xdr:col>
      <xdr:colOff>2320636</xdr:colOff>
      <xdr:row>97</xdr:row>
      <xdr:rowOff>346363</xdr:rowOff>
    </xdr:to>
    <xdr:sp macro="" textlink="">
      <xdr:nvSpPr>
        <xdr:cNvPr id="783" name="Isosceles Triangle 782">
          <a:extLst>
            <a:ext uri="{FF2B5EF4-FFF2-40B4-BE49-F238E27FC236}">
              <a16:creationId xmlns:a16="http://schemas.microsoft.com/office/drawing/2014/main" id="{BC24B964-7A15-4DE0-9B6C-3C8AC8586A77}"/>
            </a:ext>
          </a:extLst>
        </xdr:cNvPr>
        <xdr:cNvSpPr/>
      </xdr:nvSpPr>
      <xdr:spPr>
        <a:xfrm rot="10800000">
          <a:off x="140889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784" name="Isosceles Triangle 783">
          <a:extLst>
            <a:ext uri="{FF2B5EF4-FFF2-40B4-BE49-F238E27FC236}">
              <a16:creationId xmlns:a16="http://schemas.microsoft.com/office/drawing/2014/main" id="{4898F2F5-18A4-4202-8767-817064790874}"/>
            </a:ext>
          </a:extLst>
        </xdr:cNvPr>
        <xdr:cNvSpPr/>
      </xdr:nvSpPr>
      <xdr:spPr>
        <a:xfrm rot="10800000">
          <a:off x="140889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99</xdr:row>
      <xdr:rowOff>196272</xdr:rowOff>
    </xdr:from>
    <xdr:to>
      <xdr:col>8</xdr:col>
      <xdr:colOff>2320636</xdr:colOff>
      <xdr:row>99</xdr:row>
      <xdr:rowOff>346363</xdr:rowOff>
    </xdr:to>
    <xdr:sp macro="" textlink="">
      <xdr:nvSpPr>
        <xdr:cNvPr id="785" name="Isosceles Triangle 784">
          <a:extLst>
            <a:ext uri="{FF2B5EF4-FFF2-40B4-BE49-F238E27FC236}">
              <a16:creationId xmlns:a16="http://schemas.microsoft.com/office/drawing/2014/main" id="{DB8FAFFC-8809-4FCA-A269-5183DEA0D435}"/>
            </a:ext>
          </a:extLst>
        </xdr:cNvPr>
        <xdr:cNvSpPr/>
      </xdr:nvSpPr>
      <xdr:spPr>
        <a:xfrm rot="10800000">
          <a:off x="10621817" y="5499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99</xdr:row>
      <xdr:rowOff>196272</xdr:rowOff>
    </xdr:from>
    <xdr:to>
      <xdr:col>8</xdr:col>
      <xdr:colOff>2320636</xdr:colOff>
      <xdr:row>99</xdr:row>
      <xdr:rowOff>346363</xdr:rowOff>
    </xdr:to>
    <xdr:sp macro="" textlink="">
      <xdr:nvSpPr>
        <xdr:cNvPr id="786" name="Isosceles Triangle 785">
          <a:extLst>
            <a:ext uri="{FF2B5EF4-FFF2-40B4-BE49-F238E27FC236}">
              <a16:creationId xmlns:a16="http://schemas.microsoft.com/office/drawing/2014/main" id="{408A2301-FCB4-41CB-9E9D-8DA35BA1C46F}"/>
            </a:ext>
          </a:extLst>
        </xdr:cNvPr>
        <xdr:cNvSpPr/>
      </xdr:nvSpPr>
      <xdr:spPr>
        <a:xfrm rot="10800000">
          <a:off x="10621817" y="5499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98</xdr:row>
      <xdr:rowOff>196272</xdr:rowOff>
    </xdr:from>
    <xdr:to>
      <xdr:col>8</xdr:col>
      <xdr:colOff>2320636</xdr:colOff>
      <xdr:row>98</xdr:row>
      <xdr:rowOff>346363</xdr:rowOff>
    </xdr:to>
    <xdr:sp macro="" textlink="">
      <xdr:nvSpPr>
        <xdr:cNvPr id="787" name="Isosceles Triangle 786">
          <a:extLst>
            <a:ext uri="{FF2B5EF4-FFF2-40B4-BE49-F238E27FC236}">
              <a16:creationId xmlns:a16="http://schemas.microsoft.com/office/drawing/2014/main" id="{D001EEEF-BF97-4E57-813A-1F76B735AB57}"/>
            </a:ext>
          </a:extLst>
        </xdr:cNvPr>
        <xdr:cNvSpPr/>
      </xdr:nvSpPr>
      <xdr:spPr>
        <a:xfrm rot="10800000">
          <a:off x="106218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98</xdr:row>
      <xdr:rowOff>196272</xdr:rowOff>
    </xdr:from>
    <xdr:to>
      <xdr:col>8</xdr:col>
      <xdr:colOff>2320636</xdr:colOff>
      <xdr:row>98</xdr:row>
      <xdr:rowOff>346363</xdr:rowOff>
    </xdr:to>
    <xdr:sp macro="" textlink="">
      <xdr:nvSpPr>
        <xdr:cNvPr id="788" name="Isosceles Triangle 787">
          <a:extLst>
            <a:ext uri="{FF2B5EF4-FFF2-40B4-BE49-F238E27FC236}">
              <a16:creationId xmlns:a16="http://schemas.microsoft.com/office/drawing/2014/main" id="{A91CCB11-EE1C-44BA-8A34-E9D43E07D714}"/>
            </a:ext>
          </a:extLst>
        </xdr:cNvPr>
        <xdr:cNvSpPr/>
      </xdr:nvSpPr>
      <xdr:spPr>
        <a:xfrm rot="10800000">
          <a:off x="106218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98</xdr:row>
      <xdr:rowOff>196272</xdr:rowOff>
    </xdr:from>
    <xdr:to>
      <xdr:col>8</xdr:col>
      <xdr:colOff>2320636</xdr:colOff>
      <xdr:row>98</xdr:row>
      <xdr:rowOff>346363</xdr:rowOff>
    </xdr:to>
    <xdr:sp macro="" textlink="">
      <xdr:nvSpPr>
        <xdr:cNvPr id="789" name="Isosceles Triangle 788">
          <a:extLst>
            <a:ext uri="{FF2B5EF4-FFF2-40B4-BE49-F238E27FC236}">
              <a16:creationId xmlns:a16="http://schemas.microsoft.com/office/drawing/2014/main" id="{6EC77319-794A-43CF-8C8C-C740E3D5D4AA}"/>
            </a:ext>
          </a:extLst>
        </xdr:cNvPr>
        <xdr:cNvSpPr/>
      </xdr:nvSpPr>
      <xdr:spPr>
        <a:xfrm rot="10800000">
          <a:off x="106218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98</xdr:row>
      <xdr:rowOff>196272</xdr:rowOff>
    </xdr:from>
    <xdr:to>
      <xdr:col>8</xdr:col>
      <xdr:colOff>2320636</xdr:colOff>
      <xdr:row>98</xdr:row>
      <xdr:rowOff>346363</xdr:rowOff>
    </xdr:to>
    <xdr:sp macro="" textlink="">
      <xdr:nvSpPr>
        <xdr:cNvPr id="790" name="Isosceles Triangle 789">
          <a:extLst>
            <a:ext uri="{FF2B5EF4-FFF2-40B4-BE49-F238E27FC236}">
              <a16:creationId xmlns:a16="http://schemas.microsoft.com/office/drawing/2014/main" id="{7B2E4368-2AE1-4798-9474-FE65B1660D3F}"/>
            </a:ext>
          </a:extLst>
        </xdr:cNvPr>
        <xdr:cNvSpPr/>
      </xdr:nvSpPr>
      <xdr:spPr>
        <a:xfrm rot="10800000">
          <a:off x="106218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99</xdr:row>
      <xdr:rowOff>196272</xdr:rowOff>
    </xdr:from>
    <xdr:to>
      <xdr:col>8</xdr:col>
      <xdr:colOff>2320636</xdr:colOff>
      <xdr:row>99</xdr:row>
      <xdr:rowOff>346363</xdr:rowOff>
    </xdr:to>
    <xdr:sp macro="" textlink="">
      <xdr:nvSpPr>
        <xdr:cNvPr id="791" name="Isosceles Triangle 790">
          <a:extLst>
            <a:ext uri="{FF2B5EF4-FFF2-40B4-BE49-F238E27FC236}">
              <a16:creationId xmlns:a16="http://schemas.microsoft.com/office/drawing/2014/main" id="{8DB5420E-1FF4-48F4-B613-8E62E2280518}"/>
            </a:ext>
          </a:extLst>
        </xdr:cNvPr>
        <xdr:cNvSpPr/>
      </xdr:nvSpPr>
      <xdr:spPr>
        <a:xfrm rot="10800000">
          <a:off x="10621817" y="5613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99</xdr:row>
      <xdr:rowOff>196272</xdr:rowOff>
    </xdr:from>
    <xdr:to>
      <xdr:col>8</xdr:col>
      <xdr:colOff>2320636</xdr:colOff>
      <xdr:row>99</xdr:row>
      <xdr:rowOff>346363</xdr:rowOff>
    </xdr:to>
    <xdr:sp macro="" textlink="">
      <xdr:nvSpPr>
        <xdr:cNvPr id="792" name="Isosceles Triangle 791">
          <a:extLst>
            <a:ext uri="{FF2B5EF4-FFF2-40B4-BE49-F238E27FC236}">
              <a16:creationId xmlns:a16="http://schemas.microsoft.com/office/drawing/2014/main" id="{69736BB6-46A9-42C8-93B5-DA23C5625F57}"/>
            </a:ext>
          </a:extLst>
        </xdr:cNvPr>
        <xdr:cNvSpPr/>
      </xdr:nvSpPr>
      <xdr:spPr>
        <a:xfrm rot="10800000">
          <a:off x="10621817" y="5613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99</xdr:row>
      <xdr:rowOff>196272</xdr:rowOff>
    </xdr:from>
    <xdr:to>
      <xdr:col>8</xdr:col>
      <xdr:colOff>2320636</xdr:colOff>
      <xdr:row>99</xdr:row>
      <xdr:rowOff>346363</xdr:rowOff>
    </xdr:to>
    <xdr:sp macro="" textlink="">
      <xdr:nvSpPr>
        <xdr:cNvPr id="793" name="Isosceles Triangle 792">
          <a:extLst>
            <a:ext uri="{FF2B5EF4-FFF2-40B4-BE49-F238E27FC236}">
              <a16:creationId xmlns:a16="http://schemas.microsoft.com/office/drawing/2014/main" id="{7DFB5476-4672-4D63-ABB3-DE6A157532BC}"/>
            </a:ext>
          </a:extLst>
        </xdr:cNvPr>
        <xdr:cNvSpPr/>
      </xdr:nvSpPr>
      <xdr:spPr>
        <a:xfrm rot="10800000">
          <a:off x="10621817" y="5613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115</xdr:row>
      <xdr:rowOff>196272</xdr:rowOff>
    </xdr:from>
    <xdr:to>
      <xdr:col>10</xdr:col>
      <xdr:colOff>2320636</xdr:colOff>
      <xdr:row>115</xdr:row>
      <xdr:rowOff>346363</xdr:rowOff>
    </xdr:to>
    <xdr:sp macro="" textlink="">
      <xdr:nvSpPr>
        <xdr:cNvPr id="794" name="Isosceles Triangle 793">
          <a:extLst>
            <a:ext uri="{FF2B5EF4-FFF2-40B4-BE49-F238E27FC236}">
              <a16:creationId xmlns:a16="http://schemas.microsoft.com/office/drawing/2014/main" id="{65C87792-50C9-41B3-B6E8-1BA745F78054}"/>
            </a:ext>
          </a:extLst>
        </xdr:cNvPr>
        <xdr:cNvSpPr/>
      </xdr:nvSpPr>
      <xdr:spPr>
        <a:xfrm rot="10800000">
          <a:off x="10621817" y="6585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116</xdr:row>
      <xdr:rowOff>196272</xdr:rowOff>
    </xdr:from>
    <xdr:to>
      <xdr:col>10</xdr:col>
      <xdr:colOff>2320636</xdr:colOff>
      <xdr:row>116</xdr:row>
      <xdr:rowOff>346363</xdr:rowOff>
    </xdr:to>
    <xdr:sp macro="" textlink="">
      <xdr:nvSpPr>
        <xdr:cNvPr id="795" name="Isosceles Triangle 794">
          <a:extLst>
            <a:ext uri="{FF2B5EF4-FFF2-40B4-BE49-F238E27FC236}">
              <a16:creationId xmlns:a16="http://schemas.microsoft.com/office/drawing/2014/main" id="{45F228B5-BB48-4F24-83B0-66294DDD97E0}"/>
            </a:ext>
          </a:extLst>
        </xdr:cNvPr>
        <xdr:cNvSpPr/>
      </xdr:nvSpPr>
      <xdr:spPr>
        <a:xfrm rot="10800000">
          <a:off x="10621817" y="6642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115</xdr:row>
      <xdr:rowOff>196272</xdr:rowOff>
    </xdr:from>
    <xdr:to>
      <xdr:col>10</xdr:col>
      <xdr:colOff>2320636</xdr:colOff>
      <xdr:row>115</xdr:row>
      <xdr:rowOff>346363</xdr:rowOff>
    </xdr:to>
    <xdr:sp macro="" textlink="">
      <xdr:nvSpPr>
        <xdr:cNvPr id="796" name="Isosceles Triangle 795">
          <a:extLst>
            <a:ext uri="{FF2B5EF4-FFF2-40B4-BE49-F238E27FC236}">
              <a16:creationId xmlns:a16="http://schemas.microsoft.com/office/drawing/2014/main" id="{51150B88-719E-4E6F-AF5E-28AF86C60E39}"/>
            </a:ext>
          </a:extLst>
        </xdr:cNvPr>
        <xdr:cNvSpPr/>
      </xdr:nvSpPr>
      <xdr:spPr>
        <a:xfrm rot="10800000">
          <a:off x="10621817" y="6585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116</xdr:row>
      <xdr:rowOff>196272</xdr:rowOff>
    </xdr:from>
    <xdr:to>
      <xdr:col>10</xdr:col>
      <xdr:colOff>2320636</xdr:colOff>
      <xdr:row>116</xdr:row>
      <xdr:rowOff>346363</xdr:rowOff>
    </xdr:to>
    <xdr:sp macro="" textlink="">
      <xdr:nvSpPr>
        <xdr:cNvPr id="797" name="Isosceles Triangle 796">
          <a:extLst>
            <a:ext uri="{FF2B5EF4-FFF2-40B4-BE49-F238E27FC236}">
              <a16:creationId xmlns:a16="http://schemas.microsoft.com/office/drawing/2014/main" id="{4E58ECE6-5286-4959-8A43-986A2EFA8374}"/>
            </a:ext>
          </a:extLst>
        </xdr:cNvPr>
        <xdr:cNvSpPr/>
      </xdr:nvSpPr>
      <xdr:spPr>
        <a:xfrm rot="10800000">
          <a:off x="10621817" y="6642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117</xdr:row>
      <xdr:rowOff>196272</xdr:rowOff>
    </xdr:from>
    <xdr:to>
      <xdr:col>10</xdr:col>
      <xdr:colOff>2320636</xdr:colOff>
      <xdr:row>117</xdr:row>
      <xdr:rowOff>346363</xdr:rowOff>
    </xdr:to>
    <xdr:sp macro="" textlink="">
      <xdr:nvSpPr>
        <xdr:cNvPr id="798" name="Isosceles Triangle 797">
          <a:extLst>
            <a:ext uri="{FF2B5EF4-FFF2-40B4-BE49-F238E27FC236}">
              <a16:creationId xmlns:a16="http://schemas.microsoft.com/office/drawing/2014/main" id="{1978F398-8A2E-4007-BA4D-CEC534FE4468}"/>
            </a:ext>
          </a:extLst>
        </xdr:cNvPr>
        <xdr:cNvSpPr/>
      </xdr:nvSpPr>
      <xdr:spPr>
        <a:xfrm rot="10800000">
          <a:off x="10621817" y="6471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118</xdr:row>
      <xdr:rowOff>196272</xdr:rowOff>
    </xdr:from>
    <xdr:to>
      <xdr:col>10</xdr:col>
      <xdr:colOff>2320636</xdr:colOff>
      <xdr:row>118</xdr:row>
      <xdr:rowOff>346363</xdr:rowOff>
    </xdr:to>
    <xdr:sp macro="" textlink="">
      <xdr:nvSpPr>
        <xdr:cNvPr id="799" name="Isosceles Triangle 798">
          <a:extLst>
            <a:ext uri="{FF2B5EF4-FFF2-40B4-BE49-F238E27FC236}">
              <a16:creationId xmlns:a16="http://schemas.microsoft.com/office/drawing/2014/main" id="{E1AA9051-119F-4F24-90A3-5A0CA014A2CB}"/>
            </a:ext>
          </a:extLst>
        </xdr:cNvPr>
        <xdr:cNvSpPr/>
      </xdr:nvSpPr>
      <xdr:spPr>
        <a:xfrm rot="10800000">
          <a:off x="10621817" y="6528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117</xdr:row>
      <xdr:rowOff>196272</xdr:rowOff>
    </xdr:from>
    <xdr:to>
      <xdr:col>10</xdr:col>
      <xdr:colOff>2320636</xdr:colOff>
      <xdr:row>117</xdr:row>
      <xdr:rowOff>346363</xdr:rowOff>
    </xdr:to>
    <xdr:sp macro="" textlink="">
      <xdr:nvSpPr>
        <xdr:cNvPr id="800" name="Isosceles Triangle 799">
          <a:extLst>
            <a:ext uri="{FF2B5EF4-FFF2-40B4-BE49-F238E27FC236}">
              <a16:creationId xmlns:a16="http://schemas.microsoft.com/office/drawing/2014/main" id="{C750E0F3-E997-4904-8FD2-A33651BD952C}"/>
            </a:ext>
          </a:extLst>
        </xdr:cNvPr>
        <xdr:cNvSpPr/>
      </xdr:nvSpPr>
      <xdr:spPr>
        <a:xfrm rot="10800000">
          <a:off x="10621817" y="6471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118</xdr:row>
      <xdr:rowOff>196272</xdr:rowOff>
    </xdr:from>
    <xdr:to>
      <xdr:col>10</xdr:col>
      <xdr:colOff>2320636</xdr:colOff>
      <xdr:row>118</xdr:row>
      <xdr:rowOff>346363</xdr:rowOff>
    </xdr:to>
    <xdr:sp macro="" textlink="">
      <xdr:nvSpPr>
        <xdr:cNvPr id="801" name="Isosceles Triangle 800">
          <a:extLst>
            <a:ext uri="{FF2B5EF4-FFF2-40B4-BE49-F238E27FC236}">
              <a16:creationId xmlns:a16="http://schemas.microsoft.com/office/drawing/2014/main" id="{9B69B416-FC99-49F0-B531-9283EDB08FFE}"/>
            </a:ext>
          </a:extLst>
        </xdr:cNvPr>
        <xdr:cNvSpPr/>
      </xdr:nvSpPr>
      <xdr:spPr>
        <a:xfrm rot="10800000">
          <a:off x="10621817" y="6528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127</xdr:row>
      <xdr:rowOff>196272</xdr:rowOff>
    </xdr:from>
    <xdr:to>
      <xdr:col>10</xdr:col>
      <xdr:colOff>2320636</xdr:colOff>
      <xdr:row>127</xdr:row>
      <xdr:rowOff>346363</xdr:rowOff>
    </xdr:to>
    <xdr:sp macro="" textlink="">
      <xdr:nvSpPr>
        <xdr:cNvPr id="802" name="Isosceles Triangle 801">
          <a:extLst>
            <a:ext uri="{FF2B5EF4-FFF2-40B4-BE49-F238E27FC236}">
              <a16:creationId xmlns:a16="http://schemas.microsoft.com/office/drawing/2014/main" id="{DFF9B499-65E7-4B25-86CA-89EE878F70EC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803" name="Isosceles Triangle 802">
          <a:extLst>
            <a:ext uri="{FF2B5EF4-FFF2-40B4-BE49-F238E27FC236}">
              <a16:creationId xmlns:a16="http://schemas.microsoft.com/office/drawing/2014/main" id="{11816DD9-AA79-4309-B355-146A07A19D0F}"/>
            </a:ext>
          </a:extLst>
        </xdr:cNvPr>
        <xdr:cNvSpPr/>
      </xdr:nvSpPr>
      <xdr:spPr>
        <a:xfrm rot="10800000">
          <a:off x="10621817" y="7328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127</xdr:row>
      <xdr:rowOff>196272</xdr:rowOff>
    </xdr:from>
    <xdr:to>
      <xdr:col>10</xdr:col>
      <xdr:colOff>2320636</xdr:colOff>
      <xdr:row>127</xdr:row>
      <xdr:rowOff>346363</xdr:rowOff>
    </xdr:to>
    <xdr:sp macro="" textlink="">
      <xdr:nvSpPr>
        <xdr:cNvPr id="804" name="Isosceles Triangle 803">
          <a:extLst>
            <a:ext uri="{FF2B5EF4-FFF2-40B4-BE49-F238E27FC236}">
              <a16:creationId xmlns:a16="http://schemas.microsoft.com/office/drawing/2014/main" id="{C24280AB-D0D0-4C43-97EE-BFB526E750EE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805" name="Isosceles Triangle 804">
          <a:extLst>
            <a:ext uri="{FF2B5EF4-FFF2-40B4-BE49-F238E27FC236}">
              <a16:creationId xmlns:a16="http://schemas.microsoft.com/office/drawing/2014/main" id="{9DDCE82F-1C36-4591-B641-0C3A44476A50}"/>
            </a:ext>
          </a:extLst>
        </xdr:cNvPr>
        <xdr:cNvSpPr/>
      </xdr:nvSpPr>
      <xdr:spPr>
        <a:xfrm rot="10800000">
          <a:off x="10621817" y="7328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127</xdr:row>
      <xdr:rowOff>196272</xdr:rowOff>
    </xdr:from>
    <xdr:to>
      <xdr:col>10</xdr:col>
      <xdr:colOff>2320636</xdr:colOff>
      <xdr:row>127</xdr:row>
      <xdr:rowOff>346363</xdr:rowOff>
    </xdr:to>
    <xdr:sp macro="" textlink="">
      <xdr:nvSpPr>
        <xdr:cNvPr id="806" name="Isosceles Triangle 805">
          <a:extLst>
            <a:ext uri="{FF2B5EF4-FFF2-40B4-BE49-F238E27FC236}">
              <a16:creationId xmlns:a16="http://schemas.microsoft.com/office/drawing/2014/main" id="{75BEA2F3-04DD-422E-B16D-79C9C505EA0F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127</xdr:row>
      <xdr:rowOff>196272</xdr:rowOff>
    </xdr:from>
    <xdr:to>
      <xdr:col>10</xdr:col>
      <xdr:colOff>2320636</xdr:colOff>
      <xdr:row>127</xdr:row>
      <xdr:rowOff>346363</xdr:rowOff>
    </xdr:to>
    <xdr:sp macro="" textlink="">
      <xdr:nvSpPr>
        <xdr:cNvPr id="807" name="Isosceles Triangle 806">
          <a:extLst>
            <a:ext uri="{FF2B5EF4-FFF2-40B4-BE49-F238E27FC236}">
              <a16:creationId xmlns:a16="http://schemas.microsoft.com/office/drawing/2014/main" id="{4EC867FB-FD66-4FA9-85F4-5CA1BD398340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808" name="Isosceles Triangle 807">
          <a:extLst>
            <a:ext uri="{FF2B5EF4-FFF2-40B4-BE49-F238E27FC236}">
              <a16:creationId xmlns:a16="http://schemas.microsoft.com/office/drawing/2014/main" id="{9E6B0063-A0DB-4D74-BC39-F883FA1E25FD}"/>
            </a:ext>
          </a:extLst>
        </xdr:cNvPr>
        <xdr:cNvSpPr/>
      </xdr:nvSpPr>
      <xdr:spPr>
        <a:xfrm rot="10800000">
          <a:off x="106218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809" name="Isosceles Triangle 808">
          <a:extLst>
            <a:ext uri="{FF2B5EF4-FFF2-40B4-BE49-F238E27FC236}">
              <a16:creationId xmlns:a16="http://schemas.microsoft.com/office/drawing/2014/main" id="{156F844E-BBBE-42DA-A76B-EA088A395C3C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810" name="Isosceles Triangle 809">
          <a:extLst>
            <a:ext uri="{FF2B5EF4-FFF2-40B4-BE49-F238E27FC236}">
              <a16:creationId xmlns:a16="http://schemas.microsoft.com/office/drawing/2014/main" id="{AF61EB29-4E2F-4A06-B578-0FAE2B0311DC}"/>
            </a:ext>
          </a:extLst>
        </xdr:cNvPr>
        <xdr:cNvSpPr/>
      </xdr:nvSpPr>
      <xdr:spPr>
        <a:xfrm rot="10800000">
          <a:off x="106218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811" name="Isosceles Triangle 810">
          <a:extLst>
            <a:ext uri="{FF2B5EF4-FFF2-40B4-BE49-F238E27FC236}">
              <a16:creationId xmlns:a16="http://schemas.microsoft.com/office/drawing/2014/main" id="{5D909D33-67EB-4A4B-96D9-A9395DD2A80B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812" name="Isosceles Triangle 811">
          <a:extLst>
            <a:ext uri="{FF2B5EF4-FFF2-40B4-BE49-F238E27FC236}">
              <a16:creationId xmlns:a16="http://schemas.microsoft.com/office/drawing/2014/main" id="{3A9DBA93-39EC-430E-B747-41BD72E98AD8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813" name="Isosceles Triangle 812">
          <a:extLst>
            <a:ext uri="{FF2B5EF4-FFF2-40B4-BE49-F238E27FC236}">
              <a16:creationId xmlns:a16="http://schemas.microsoft.com/office/drawing/2014/main" id="{0A3F259B-FE2C-450B-8E03-0C274996BFE2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134</xdr:row>
      <xdr:rowOff>196272</xdr:rowOff>
    </xdr:from>
    <xdr:to>
      <xdr:col>10</xdr:col>
      <xdr:colOff>2320636</xdr:colOff>
      <xdr:row>134</xdr:row>
      <xdr:rowOff>346363</xdr:rowOff>
    </xdr:to>
    <xdr:sp macro="" textlink="">
      <xdr:nvSpPr>
        <xdr:cNvPr id="814" name="Isosceles Triangle 813">
          <a:extLst>
            <a:ext uri="{FF2B5EF4-FFF2-40B4-BE49-F238E27FC236}">
              <a16:creationId xmlns:a16="http://schemas.microsoft.com/office/drawing/2014/main" id="{6840FEA1-6B82-4925-B9E8-E3BB2E18322F}"/>
            </a:ext>
          </a:extLst>
        </xdr:cNvPr>
        <xdr:cNvSpPr/>
      </xdr:nvSpPr>
      <xdr:spPr>
        <a:xfrm rot="10800000">
          <a:off x="14088917" y="7499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136</xdr:row>
      <xdr:rowOff>196272</xdr:rowOff>
    </xdr:from>
    <xdr:to>
      <xdr:col>10</xdr:col>
      <xdr:colOff>2320636</xdr:colOff>
      <xdr:row>136</xdr:row>
      <xdr:rowOff>346363</xdr:rowOff>
    </xdr:to>
    <xdr:sp macro="" textlink="">
      <xdr:nvSpPr>
        <xdr:cNvPr id="815" name="Isosceles Triangle 814">
          <a:extLst>
            <a:ext uri="{FF2B5EF4-FFF2-40B4-BE49-F238E27FC236}">
              <a16:creationId xmlns:a16="http://schemas.microsoft.com/office/drawing/2014/main" id="{AFF4F323-9E43-4A7E-B003-8849411D9755}"/>
            </a:ext>
          </a:extLst>
        </xdr:cNvPr>
        <xdr:cNvSpPr/>
      </xdr:nvSpPr>
      <xdr:spPr>
        <a:xfrm rot="10800000">
          <a:off x="14088917" y="7614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136</xdr:row>
      <xdr:rowOff>196272</xdr:rowOff>
    </xdr:from>
    <xdr:to>
      <xdr:col>10</xdr:col>
      <xdr:colOff>2320636</xdr:colOff>
      <xdr:row>136</xdr:row>
      <xdr:rowOff>346363</xdr:rowOff>
    </xdr:to>
    <xdr:sp macro="" textlink="">
      <xdr:nvSpPr>
        <xdr:cNvPr id="816" name="Isosceles Triangle 815">
          <a:extLst>
            <a:ext uri="{FF2B5EF4-FFF2-40B4-BE49-F238E27FC236}">
              <a16:creationId xmlns:a16="http://schemas.microsoft.com/office/drawing/2014/main" id="{C757F67F-B815-413E-9D64-7E993382FCBE}"/>
            </a:ext>
          </a:extLst>
        </xdr:cNvPr>
        <xdr:cNvSpPr/>
      </xdr:nvSpPr>
      <xdr:spPr>
        <a:xfrm rot="10800000">
          <a:off x="14088917" y="7614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136</xdr:row>
      <xdr:rowOff>196272</xdr:rowOff>
    </xdr:from>
    <xdr:to>
      <xdr:col>10</xdr:col>
      <xdr:colOff>2320636</xdr:colOff>
      <xdr:row>136</xdr:row>
      <xdr:rowOff>346363</xdr:rowOff>
    </xdr:to>
    <xdr:sp macro="" textlink="">
      <xdr:nvSpPr>
        <xdr:cNvPr id="817" name="Isosceles Triangle 816">
          <a:extLst>
            <a:ext uri="{FF2B5EF4-FFF2-40B4-BE49-F238E27FC236}">
              <a16:creationId xmlns:a16="http://schemas.microsoft.com/office/drawing/2014/main" id="{2380C8F2-12FF-438B-ADB8-6C904D0465C6}"/>
            </a:ext>
          </a:extLst>
        </xdr:cNvPr>
        <xdr:cNvSpPr/>
      </xdr:nvSpPr>
      <xdr:spPr>
        <a:xfrm rot="10800000">
          <a:off x="14088917" y="7614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133</xdr:row>
      <xdr:rowOff>196272</xdr:rowOff>
    </xdr:from>
    <xdr:to>
      <xdr:col>10</xdr:col>
      <xdr:colOff>2320636</xdr:colOff>
      <xdr:row>133</xdr:row>
      <xdr:rowOff>346363</xdr:rowOff>
    </xdr:to>
    <xdr:sp macro="" textlink="">
      <xdr:nvSpPr>
        <xdr:cNvPr id="818" name="Isosceles Triangle 817">
          <a:extLst>
            <a:ext uri="{FF2B5EF4-FFF2-40B4-BE49-F238E27FC236}">
              <a16:creationId xmlns:a16="http://schemas.microsoft.com/office/drawing/2014/main" id="{0133BB8F-627E-4EE4-A526-50DF4FAEACCE}"/>
            </a:ext>
          </a:extLst>
        </xdr:cNvPr>
        <xdr:cNvSpPr/>
      </xdr:nvSpPr>
      <xdr:spPr>
        <a:xfrm rot="10800000">
          <a:off x="14088917" y="7728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819" name="Isosceles Triangle 818">
          <a:extLst>
            <a:ext uri="{FF2B5EF4-FFF2-40B4-BE49-F238E27FC236}">
              <a16:creationId xmlns:a16="http://schemas.microsoft.com/office/drawing/2014/main" id="{49661CAC-9B63-4D75-91D2-D2E0F8C768BA}"/>
            </a:ext>
          </a:extLst>
        </xdr:cNvPr>
        <xdr:cNvSpPr/>
      </xdr:nvSpPr>
      <xdr:spPr>
        <a:xfrm rot="10800000">
          <a:off x="14088917" y="7728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109</xdr:row>
      <xdr:rowOff>196272</xdr:rowOff>
    </xdr:from>
    <xdr:to>
      <xdr:col>10</xdr:col>
      <xdr:colOff>2320636</xdr:colOff>
      <xdr:row>109</xdr:row>
      <xdr:rowOff>346363</xdr:rowOff>
    </xdr:to>
    <xdr:sp macro="" textlink="">
      <xdr:nvSpPr>
        <xdr:cNvPr id="844" name="Isosceles Triangle 843">
          <a:extLst>
            <a:ext uri="{FF2B5EF4-FFF2-40B4-BE49-F238E27FC236}">
              <a16:creationId xmlns:a16="http://schemas.microsoft.com/office/drawing/2014/main" id="{406302D0-8F73-4E55-9002-C2D2F200540D}"/>
            </a:ext>
          </a:extLst>
        </xdr:cNvPr>
        <xdr:cNvSpPr/>
      </xdr:nvSpPr>
      <xdr:spPr>
        <a:xfrm rot="10800000">
          <a:off x="10621817" y="6185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109</xdr:row>
      <xdr:rowOff>196272</xdr:rowOff>
    </xdr:from>
    <xdr:to>
      <xdr:col>10</xdr:col>
      <xdr:colOff>2320636</xdr:colOff>
      <xdr:row>109</xdr:row>
      <xdr:rowOff>346363</xdr:rowOff>
    </xdr:to>
    <xdr:sp macro="" textlink="">
      <xdr:nvSpPr>
        <xdr:cNvPr id="845" name="Isosceles Triangle 844">
          <a:extLst>
            <a:ext uri="{FF2B5EF4-FFF2-40B4-BE49-F238E27FC236}">
              <a16:creationId xmlns:a16="http://schemas.microsoft.com/office/drawing/2014/main" id="{CAA7B19B-0471-43B1-9431-E53384107765}"/>
            </a:ext>
          </a:extLst>
        </xdr:cNvPr>
        <xdr:cNvSpPr/>
      </xdr:nvSpPr>
      <xdr:spPr>
        <a:xfrm rot="10800000">
          <a:off x="10621817" y="6185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111</xdr:row>
      <xdr:rowOff>196272</xdr:rowOff>
    </xdr:from>
    <xdr:to>
      <xdr:col>10</xdr:col>
      <xdr:colOff>2320636</xdr:colOff>
      <xdr:row>111</xdr:row>
      <xdr:rowOff>346363</xdr:rowOff>
    </xdr:to>
    <xdr:sp macro="" textlink="">
      <xdr:nvSpPr>
        <xdr:cNvPr id="846" name="Isosceles Triangle 845">
          <a:extLst>
            <a:ext uri="{FF2B5EF4-FFF2-40B4-BE49-F238E27FC236}">
              <a16:creationId xmlns:a16="http://schemas.microsoft.com/office/drawing/2014/main" id="{6580D1EF-F046-4B83-9512-0AE12B6B98C5}"/>
            </a:ext>
          </a:extLst>
        </xdr:cNvPr>
        <xdr:cNvSpPr/>
      </xdr:nvSpPr>
      <xdr:spPr>
        <a:xfrm rot="10800000">
          <a:off x="10621817" y="6185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111</xdr:row>
      <xdr:rowOff>196272</xdr:rowOff>
    </xdr:from>
    <xdr:to>
      <xdr:col>10</xdr:col>
      <xdr:colOff>2320636</xdr:colOff>
      <xdr:row>111</xdr:row>
      <xdr:rowOff>346363</xdr:rowOff>
    </xdr:to>
    <xdr:sp macro="" textlink="">
      <xdr:nvSpPr>
        <xdr:cNvPr id="847" name="Isosceles Triangle 846">
          <a:extLst>
            <a:ext uri="{FF2B5EF4-FFF2-40B4-BE49-F238E27FC236}">
              <a16:creationId xmlns:a16="http://schemas.microsoft.com/office/drawing/2014/main" id="{FA7508FC-A7B0-4B97-B613-1ACA229A3ED1}"/>
            </a:ext>
          </a:extLst>
        </xdr:cNvPr>
        <xdr:cNvSpPr/>
      </xdr:nvSpPr>
      <xdr:spPr>
        <a:xfrm rot="10800000">
          <a:off x="10621817" y="6185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110</xdr:row>
      <xdr:rowOff>196272</xdr:rowOff>
    </xdr:from>
    <xdr:to>
      <xdr:col>10</xdr:col>
      <xdr:colOff>2320636</xdr:colOff>
      <xdr:row>110</xdr:row>
      <xdr:rowOff>346363</xdr:rowOff>
    </xdr:to>
    <xdr:sp macro="" textlink="">
      <xdr:nvSpPr>
        <xdr:cNvPr id="848" name="Isosceles Triangle 847">
          <a:extLst>
            <a:ext uri="{FF2B5EF4-FFF2-40B4-BE49-F238E27FC236}">
              <a16:creationId xmlns:a16="http://schemas.microsoft.com/office/drawing/2014/main" id="{296B222B-C9A2-401B-A8B2-531F9A12293E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110</xdr:row>
      <xdr:rowOff>196272</xdr:rowOff>
    </xdr:from>
    <xdr:to>
      <xdr:col>10</xdr:col>
      <xdr:colOff>2320636</xdr:colOff>
      <xdr:row>110</xdr:row>
      <xdr:rowOff>346363</xdr:rowOff>
    </xdr:to>
    <xdr:sp macro="" textlink="">
      <xdr:nvSpPr>
        <xdr:cNvPr id="849" name="Isosceles Triangle 848">
          <a:extLst>
            <a:ext uri="{FF2B5EF4-FFF2-40B4-BE49-F238E27FC236}">
              <a16:creationId xmlns:a16="http://schemas.microsoft.com/office/drawing/2014/main" id="{DE8A83A0-FF9F-4438-AD12-45EA284EAC8F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112</xdr:row>
      <xdr:rowOff>196272</xdr:rowOff>
    </xdr:from>
    <xdr:to>
      <xdr:col>10</xdr:col>
      <xdr:colOff>2320636</xdr:colOff>
      <xdr:row>112</xdr:row>
      <xdr:rowOff>346363</xdr:rowOff>
    </xdr:to>
    <xdr:sp macro="" textlink="">
      <xdr:nvSpPr>
        <xdr:cNvPr id="850" name="Isosceles Triangle 849">
          <a:extLst>
            <a:ext uri="{FF2B5EF4-FFF2-40B4-BE49-F238E27FC236}">
              <a16:creationId xmlns:a16="http://schemas.microsoft.com/office/drawing/2014/main" id="{DD7CBAF6-0C76-4A16-8849-D8808B680954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112</xdr:row>
      <xdr:rowOff>196272</xdr:rowOff>
    </xdr:from>
    <xdr:to>
      <xdr:col>10</xdr:col>
      <xdr:colOff>2320636</xdr:colOff>
      <xdr:row>112</xdr:row>
      <xdr:rowOff>346363</xdr:rowOff>
    </xdr:to>
    <xdr:sp macro="" textlink="">
      <xdr:nvSpPr>
        <xdr:cNvPr id="851" name="Isosceles Triangle 850">
          <a:extLst>
            <a:ext uri="{FF2B5EF4-FFF2-40B4-BE49-F238E27FC236}">
              <a16:creationId xmlns:a16="http://schemas.microsoft.com/office/drawing/2014/main" id="{03B0E14F-F3F8-46E6-A80F-636223040CB5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91</xdr:row>
      <xdr:rowOff>196272</xdr:rowOff>
    </xdr:from>
    <xdr:to>
      <xdr:col>10</xdr:col>
      <xdr:colOff>2320636</xdr:colOff>
      <xdr:row>91</xdr:row>
      <xdr:rowOff>346363</xdr:rowOff>
    </xdr:to>
    <xdr:sp macro="" textlink="">
      <xdr:nvSpPr>
        <xdr:cNvPr id="852" name="Isosceles Triangle 851">
          <a:extLst>
            <a:ext uri="{FF2B5EF4-FFF2-40B4-BE49-F238E27FC236}">
              <a16:creationId xmlns:a16="http://schemas.microsoft.com/office/drawing/2014/main" id="{7E4D4AC4-82D1-4A71-9D25-1ABE79B18280}"/>
            </a:ext>
          </a:extLst>
        </xdr:cNvPr>
        <xdr:cNvSpPr/>
      </xdr:nvSpPr>
      <xdr:spPr>
        <a:xfrm rot="10800000">
          <a:off x="140889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92</xdr:row>
      <xdr:rowOff>196272</xdr:rowOff>
    </xdr:from>
    <xdr:to>
      <xdr:col>10</xdr:col>
      <xdr:colOff>2320636</xdr:colOff>
      <xdr:row>92</xdr:row>
      <xdr:rowOff>346363</xdr:rowOff>
    </xdr:to>
    <xdr:sp macro="" textlink="">
      <xdr:nvSpPr>
        <xdr:cNvPr id="853" name="Isosceles Triangle 852">
          <a:extLst>
            <a:ext uri="{FF2B5EF4-FFF2-40B4-BE49-F238E27FC236}">
              <a16:creationId xmlns:a16="http://schemas.microsoft.com/office/drawing/2014/main" id="{EE83A940-69A4-49BC-8A4B-1F29E95DB05B}"/>
            </a:ext>
          </a:extLst>
        </xdr:cNvPr>
        <xdr:cNvSpPr/>
      </xdr:nvSpPr>
      <xdr:spPr>
        <a:xfrm rot="10800000">
          <a:off x="14088917" y="6185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93</xdr:row>
      <xdr:rowOff>196272</xdr:rowOff>
    </xdr:from>
    <xdr:to>
      <xdr:col>10</xdr:col>
      <xdr:colOff>2320636</xdr:colOff>
      <xdr:row>93</xdr:row>
      <xdr:rowOff>346363</xdr:rowOff>
    </xdr:to>
    <xdr:sp macro="" textlink="">
      <xdr:nvSpPr>
        <xdr:cNvPr id="854" name="Isosceles Triangle 853">
          <a:extLst>
            <a:ext uri="{FF2B5EF4-FFF2-40B4-BE49-F238E27FC236}">
              <a16:creationId xmlns:a16="http://schemas.microsoft.com/office/drawing/2014/main" id="{11F4DFC2-0F63-40B7-8162-A2CCC25C468B}"/>
            </a:ext>
          </a:extLst>
        </xdr:cNvPr>
        <xdr:cNvSpPr/>
      </xdr:nvSpPr>
      <xdr:spPr>
        <a:xfrm rot="10800000">
          <a:off x="14088917" y="6242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94</xdr:row>
      <xdr:rowOff>196272</xdr:rowOff>
    </xdr:from>
    <xdr:to>
      <xdr:col>10</xdr:col>
      <xdr:colOff>2320636</xdr:colOff>
      <xdr:row>94</xdr:row>
      <xdr:rowOff>346363</xdr:rowOff>
    </xdr:to>
    <xdr:sp macro="" textlink="">
      <xdr:nvSpPr>
        <xdr:cNvPr id="855" name="Isosceles Triangle 854">
          <a:extLst>
            <a:ext uri="{FF2B5EF4-FFF2-40B4-BE49-F238E27FC236}">
              <a16:creationId xmlns:a16="http://schemas.microsoft.com/office/drawing/2014/main" id="{4B415B1D-1753-4F74-8F8E-AF5FF61F7F1A}"/>
            </a:ext>
          </a:extLst>
        </xdr:cNvPr>
        <xdr:cNvSpPr/>
      </xdr:nvSpPr>
      <xdr:spPr>
        <a:xfrm rot="10800000">
          <a:off x="14088917" y="62997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91</xdr:row>
      <xdr:rowOff>196272</xdr:rowOff>
    </xdr:from>
    <xdr:to>
      <xdr:col>10</xdr:col>
      <xdr:colOff>2320636</xdr:colOff>
      <xdr:row>91</xdr:row>
      <xdr:rowOff>346363</xdr:rowOff>
    </xdr:to>
    <xdr:sp macro="" textlink="">
      <xdr:nvSpPr>
        <xdr:cNvPr id="856" name="Isosceles Triangle 855">
          <a:extLst>
            <a:ext uri="{FF2B5EF4-FFF2-40B4-BE49-F238E27FC236}">
              <a16:creationId xmlns:a16="http://schemas.microsoft.com/office/drawing/2014/main" id="{533EC6A6-1987-4A0F-81FD-1DCB949E3556}"/>
            </a:ext>
          </a:extLst>
        </xdr:cNvPr>
        <xdr:cNvSpPr/>
      </xdr:nvSpPr>
      <xdr:spPr>
        <a:xfrm rot="10800000">
          <a:off x="140889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91</xdr:row>
      <xdr:rowOff>196272</xdr:rowOff>
    </xdr:from>
    <xdr:to>
      <xdr:col>10</xdr:col>
      <xdr:colOff>2320636</xdr:colOff>
      <xdr:row>91</xdr:row>
      <xdr:rowOff>346363</xdr:rowOff>
    </xdr:to>
    <xdr:sp macro="" textlink="">
      <xdr:nvSpPr>
        <xdr:cNvPr id="857" name="Isosceles Triangle 856">
          <a:extLst>
            <a:ext uri="{FF2B5EF4-FFF2-40B4-BE49-F238E27FC236}">
              <a16:creationId xmlns:a16="http://schemas.microsoft.com/office/drawing/2014/main" id="{384C1178-9395-432A-A668-50AC1AED02B1}"/>
            </a:ext>
          </a:extLst>
        </xdr:cNvPr>
        <xdr:cNvSpPr/>
      </xdr:nvSpPr>
      <xdr:spPr>
        <a:xfrm rot="10800000">
          <a:off x="140889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93</xdr:row>
      <xdr:rowOff>196272</xdr:rowOff>
    </xdr:from>
    <xdr:to>
      <xdr:col>10</xdr:col>
      <xdr:colOff>2320636</xdr:colOff>
      <xdr:row>93</xdr:row>
      <xdr:rowOff>346363</xdr:rowOff>
    </xdr:to>
    <xdr:sp macro="" textlink="">
      <xdr:nvSpPr>
        <xdr:cNvPr id="858" name="Isosceles Triangle 857">
          <a:extLst>
            <a:ext uri="{FF2B5EF4-FFF2-40B4-BE49-F238E27FC236}">
              <a16:creationId xmlns:a16="http://schemas.microsoft.com/office/drawing/2014/main" id="{2ADDD5B5-C0C3-429F-AC51-68A555DCDB3C}"/>
            </a:ext>
          </a:extLst>
        </xdr:cNvPr>
        <xdr:cNvSpPr/>
      </xdr:nvSpPr>
      <xdr:spPr>
        <a:xfrm rot="10800000">
          <a:off x="14088917" y="6242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93</xdr:row>
      <xdr:rowOff>196272</xdr:rowOff>
    </xdr:from>
    <xdr:to>
      <xdr:col>10</xdr:col>
      <xdr:colOff>2320636</xdr:colOff>
      <xdr:row>93</xdr:row>
      <xdr:rowOff>346363</xdr:rowOff>
    </xdr:to>
    <xdr:sp macro="" textlink="">
      <xdr:nvSpPr>
        <xdr:cNvPr id="859" name="Isosceles Triangle 858">
          <a:extLst>
            <a:ext uri="{FF2B5EF4-FFF2-40B4-BE49-F238E27FC236}">
              <a16:creationId xmlns:a16="http://schemas.microsoft.com/office/drawing/2014/main" id="{133EEA39-B980-4022-B687-D43EDF015EBA}"/>
            </a:ext>
          </a:extLst>
        </xdr:cNvPr>
        <xdr:cNvSpPr/>
      </xdr:nvSpPr>
      <xdr:spPr>
        <a:xfrm rot="10800000">
          <a:off x="14088917" y="6242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92</xdr:row>
      <xdr:rowOff>196272</xdr:rowOff>
    </xdr:from>
    <xdr:to>
      <xdr:col>10</xdr:col>
      <xdr:colOff>2320636</xdr:colOff>
      <xdr:row>92</xdr:row>
      <xdr:rowOff>346363</xdr:rowOff>
    </xdr:to>
    <xdr:sp macro="" textlink="">
      <xdr:nvSpPr>
        <xdr:cNvPr id="860" name="Isosceles Triangle 859">
          <a:extLst>
            <a:ext uri="{FF2B5EF4-FFF2-40B4-BE49-F238E27FC236}">
              <a16:creationId xmlns:a16="http://schemas.microsoft.com/office/drawing/2014/main" id="{444A2558-6A93-4DFA-86B1-AA9C477A02EE}"/>
            </a:ext>
          </a:extLst>
        </xdr:cNvPr>
        <xdr:cNvSpPr/>
      </xdr:nvSpPr>
      <xdr:spPr>
        <a:xfrm rot="10800000">
          <a:off x="14088917" y="6185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92</xdr:row>
      <xdr:rowOff>196272</xdr:rowOff>
    </xdr:from>
    <xdr:to>
      <xdr:col>10</xdr:col>
      <xdr:colOff>2320636</xdr:colOff>
      <xdr:row>92</xdr:row>
      <xdr:rowOff>346363</xdr:rowOff>
    </xdr:to>
    <xdr:sp macro="" textlink="">
      <xdr:nvSpPr>
        <xdr:cNvPr id="861" name="Isosceles Triangle 860">
          <a:extLst>
            <a:ext uri="{FF2B5EF4-FFF2-40B4-BE49-F238E27FC236}">
              <a16:creationId xmlns:a16="http://schemas.microsoft.com/office/drawing/2014/main" id="{50AA58C5-2116-46C8-B9DB-AE65EDFD64D0}"/>
            </a:ext>
          </a:extLst>
        </xdr:cNvPr>
        <xdr:cNvSpPr/>
      </xdr:nvSpPr>
      <xdr:spPr>
        <a:xfrm rot="10800000">
          <a:off x="14088917" y="6185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94</xdr:row>
      <xdr:rowOff>196272</xdr:rowOff>
    </xdr:from>
    <xdr:to>
      <xdr:col>10</xdr:col>
      <xdr:colOff>2320636</xdr:colOff>
      <xdr:row>94</xdr:row>
      <xdr:rowOff>346363</xdr:rowOff>
    </xdr:to>
    <xdr:sp macro="" textlink="">
      <xdr:nvSpPr>
        <xdr:cNvPr id="862" name="Isosceles Triangle 861">
          <a:extLst>
            <a:ext uri="{FF2B5EF4-FFF2-40B4-BE49-F238E27FC236}">
              <a16:creationId xmlns:a16="http://schemas.microsoft.com/office/drawing/2014/main" id="{B00EAEE4-4721-48BD-B83B-E4FB15B9D160}"/>
            </a:ext>
          </a:extLst>
        </xdr:cNvPr>
        <xdr:cNvSpPr/>
      </xdr:nvSpPr>
      <xdr:spPr>
        <a:xfrm rot="10800000">
          <a:off x="14088917" y="62997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94</xdr:row>
      <xdr:rowOff>196272</xdr:rowOff>
    </xdr:from>
    <xdr:to>
      <xdr:col>10</xdr:col>
      <xdr:colOff>2320636</xdr:colOff>
      <xdr:row>94</xdr:row>
      <xdr:rowOff>346363</xdr:rowOff>
    </xdr:to>
    <xdr:sp macro="" textlink="">
      <xdr:nvSpPr>
        <xdr:cNvPr id="863" name="Isosceles Triangle 862">
          <a:extLst>
            <a:ext uri="{FF2B5EF4-FFF2-40B4-BE49-F238E27FC236}">
              <a16:creationId xmlns:a16="http://schemas.microsoft.com/office/drawing/2014/main" id="{EFE58988-6BAD-4454-8F22-525852F56395}"/>
            </a:ext>
          </a:extLst>
        </xdr:cNvPr>
        <xdr:cNvSpPr/>
      </xdr:nvSpPr>
      <xdr:spPr>
        <a:xfrm rot="10800000">
          <a:off x="14088917" y="62997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880" name="Isosceles Triangle 879">
          <a:extLst>
            <a:ext uri="{FF2B5EF4-FFF2-40B4-BE49-F238E27FC236}">
              <a16:creationId xmlns:a16="http://schemas.microsoft.com/office/drawing/2014/main" id="{FF737690-7EBE-49D9-B437-18A365DA3D03}"/>
            </a:ext>
          </a:extLst>
        </xdr:cNvPr>
        <xdr:cNvSpPr/>
      </xdr:nvSpPr>
      <xdr:spPr>
        <a:xfrm rot="10800000">
          <a:off x="106218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881" name="Isosceles Triangle 880">
          <a:extLst>
            <a:ext uri="{FF2B5EF4-FFF2-40B4-BE49-F238E27FC236}">
              <a16:creationId xmlns:a16="http://schemas.microsoft.com/office/drawing/2014/main" id="{877A6CF7-BBDD-4B30-A283-04D2115C37CF}"/>
            </a:ext>
          </a:extLst>
        </xdr:cNvPr>
        <xdr:cNvSpPr/>
      </xdr:nvSpPr>
      <xdr:spPr>
        <a:xfrm rot="10800000">
          <a:off x="106218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882" name="Isosceles Triangle 881">
          <a:extLst>
            <a:ext uri="{FF2B5EF4-FFF2-40B4-BE49-F238E27FC236}">
              <a16:creationId xmlns:a16="http://schemas.microsoft.com/office/drawing/2014/main" id="{19112BC5-E29C-4148-9606-B6A513314115}"/>
            </a:ext>
          </a:extLst>
        </xdr:cNvPr>
        <xdr:cNvSpPr/>
      </xdr:nvSpPr>
      <xdr:spPr>
        <a:xfrm rot="10800000">
          <a:off x="106218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883" name="Isosceles Triangle 882">
          <a:extLst>
            <a:ext uri="{FF2B5EF4-FFF2-40B4-BE49-F238E27FC236}">
              <a16:creationId xmlns:a16="http://schemas.microsoft.com/office/drawing/2014/main" id="{EB0B9620-9A01-4D43-8010-317D5EE7A2A7}"/>
            </a:ext>
          </a:extLst>
        </xdr:cNvPr>
        <xdr:cNvSpPr/>
      </xdr:nvSpPr>
      <xdr:spPr>
        <a:xfrm rot="10800000">
          <a:off x="106218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884" name="Isosceles Triangle 883">
          <a:extLst>
            <a:ext uri="{FF2B5EF4-FFF2-40B4-BE49-F238E27FC236}">
              <a16:creationId xmlns:a16="http://schemas.microsoft.com/office/drawing/2014/main" id="{B69958B6-1BA2-4E30-9415-B485BEE18705}"/>
            </a:ext>
          </a:extLst>
        </xdr:cNvPr>
        <xdr:cNvSpPr/>
      </xdr:nvSpPr>
      <xdr:spPr>
        <a:xfrm rot="10800000">
          <a:off x="106218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885" name="Isosceles Triangle 884">
          <a:extLst>
            <a:ext uri="{FF2B5EF4-FFF2-40B4-BE49-F238E27FC236}">
              <a16:creationId xmlns:a16="http://schemas.microsoft.com/office/drawing/2014/main" id="{6D82C25D-A690-4B5B-8214-9F47694ADC0A}"/>
            </a:ext>
          </a:extLst>
        </xdr:cNvPr>
        <xdr:cNvSpPr/>
      </xdr:nvSpPr>
      <xdr:spPr>
        <a:xfrm rot="10800000">
          <a:off x="106218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886" name="Isosceles Triangle 885">
          <a:extLst>
            <a:ext uri="{FF2B5EF4-FFF2-40B4-BE49-F238E27FC236}">
              <a16:creationId xmlns:a16="http://schemas.microsoft.com/office/drawing/2014/main" id="{6DBFE097-9770-4010-AB0B-FA5F798436AF}"/>
            </a:ext>
          </a:extLst>
        </xdr:cNvPr>
        <xdr:cNvSpPr/>
      </xdr:nvSpPr>
      <xdr:spPr>
        <a:xfrm rot="10800000">
          <a:off x="106218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887" name="Isosceles Triangle 886">
          <a:extLst>
            <a:ext uri="{FF2B5EF4-FFF2-40B4-BE49-F238E27FC236}">
              <a16:creationId xmlns:a16="http://schemas.microsoft.com/office/drawing/2014/main" id="{6980DB0A-CAE1-4AD1-83AF-79C5CF26E4BE}"/>
            </a:ext>
          </a:extLst>
        </xdr:cNvPr>
        <xdr:cNvSpPr/>
      </xdr:nvSpPr>
      <xdr:spPr>
        <a:xfrm rot="10800000">
          <a:off x="10621817" y="1384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888" name="Isosceles Triangle 887">
          <a:extLst>
            <a:ext uri="{FF2B5EF4-FFF2-40B4-BE49-F238E27FC236}">
              <a16:creationId xmlns:a16="http://schemas.microsoft.com/office/drawing/2014/main" id="{DAC54A08-6E2E-4301-84B0-A7BF40BC6334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889" name="Isosceles Triangle 888">
          <a:extLst>
            <a:ext uri="{FF2B5EF4-FFF2-40B4-BE49-F238E27FC236}">
              <a16:creationId xmlns:a16="http://schemas.microsoft.com/office/drawing/2014/main" id="{A56CC870-82E8-41FA-978E-81657036538F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890" name="Isosceles Triangle 889">
          <a:extLst>
            <a:ext uri="{FF2B5EF4-FFF2-40B4-BE49-F238E27FC236}">
              <a16:creationId xmlns:a16="http://schemas.microsoft.com/office/drawing/2014/main" id="{39B57D60-7CE7-4BB3-984D-BDC43F393B87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891" name="Isosceles Triangle 890">
          <a:extLst>
            <a:ext uri="{FF2B5EF4-FFF2-40B4-BE49-F238E27FC236}">
              <a16:creationId xmlns:a16="http://schemas.microsoft.com/office/drawing/2014/main" id="{A50CD34C-E6F6-48D5-96DB-4756ACEE2735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892" name="Isosceles Triangle 891">
          <a:extLst>
            <a:ext uri="{FF2B5EF4-FFF2-40B4-BE49-F238E27FC236}">
              <a16:creationId xmlns:a16="http://schemas.microsoft.com/office/drawing/2014/main" id="{5B999536-F2E2-402C-986B-EF5DB50671BF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893" name="Isosceles Triangle 892">
          <a:extLst>
            <a:ext uri="{FF2B5EF4-FFF2-40B4-BE49-F238E27FC236}">
              <a16:creationId xmlns:a16="http://schemas.microsoft.com/office/drawing/2014/main" id="{92632456-A6B4-4754-BC67-9DE2033B0A75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894" name="Isosceles Triangle 893">
          <a:extLst>
            <a:ext uri="{FF2B5EF4-FFF2-40B4-BE49-F238E27FC236}">
              <a16:creationId xmlns:a16="http://schemas.microsoft.com/office/drawing/2014/main" id="{A0C501D9-BD3D-4559-8DA8-BAA4DB7014C1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895" name="Isosceles Triangle 894">
          <a:extLst>
            <a:ext uri="{FF2B5EF4-FFF2-40B4-BE49-F238E27FC236}">
              <a16:creationId xmlns:a16="http://schemas.microsoft.com/office/drawing/2014/main" id="{033C70F4-B431-49D7-B646-2D0A6CA1F3E2}"/>
            </a:ext>
          </a:extLst>
        </xdr:cNvPr>
        <xdr:cNvSpPr/>
      </xdr:nvSpPr>
      <xdr:spPr>
        <a:xfrm rot="10800000">
          <a:off x="14088917" y="1327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896" name="Isosceles Triangle 895">
          <a:extLst>
            <a:ext uri="{FF2B5EF4-FFF2-40B4-BE49-F238E27FC236}">
              <a16:creationId xmlns:a16="http://schemas.microsoft.com/office/drawing/2014/main" id="{B579CBF3-D8B8-45BE-98F3-F04E558D4B41}"/>
            </a:ext>
          </a:extLst>
        </xdr:cNvPr>
        <xdr:cNvSpPr/>
      </xdr:nvSpPr>
      <xdr:spPr>
        <a:xfrm rot="10800000">
          <a:off x="10621817" y="1442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897" name="Isosceles Triangle 896">
          <a:extLst>
            <a:ext uri="{FF2B5EF4-FFF2-40B4-BE49-F238E27FC236}">
              <a16:creationId xmlns:a16="http://schemas.microsoft.com/office/drawing/2014/main" id="{3EDD5F50-3718-4BED-8757-FA7D2257EBBB}"/>
            </a:ext>
          </a:extLst>
        </xdr:cNvPr>
        <xdr:cNvSpPr/>
      </xdr:nvSpPr>
      <xdr:spPr>
        <a:xfrm rot="10800000">
          <a:off x="10621817" y="1442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898" name="Isosceles Triangle 897">
          <a:extLst>
            <a:ext uri="{FF2B5EF4-FFF2-40B4-BE49-F238E27FC236}">
              <a16:creationId xmlns:a16="http://schemas.microsoft.com/office/drawing/2014/main" id="{BF4520D0-218F-4BBD-B196-218421EDB0D2}"/>
            </a:ext>
          </a:extLst>
        </xdr:cNvPr>
        <xdr:cNvSpPr/>
      </xdr:nvSpPr>
      <xdr:spPr>
        <a:xfrm rot="10800000">
          <a:off x="10621817" y="1442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899" name="Isosceles Triangle 898">
          <a:extLst>
            <a:ext uri="{FF2B5EF4-FFF2-40B4-BE49-F238E27FC236}">
              <a16:creationId xmlns:a16="http://schemas.microsoft.com/office/drawing/2014/main" id="{7F84502B-B192-4039-B1B2-8964CE9AFDE9}"/>
            </a:ext>
          </a:extLst>
        </xdr:cNvPr>
        <xdr:cNvSpPr/>
      </xdr:nvSpPr>
      <xdr:spPr>
        <a:xfrm rot="10800000">
          <a:off x="10621817" y="1442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122</xdr:row>
      <xdr:rowOff>196272</xdr:rowOff>
    </xdr:from>
    <xdr:to>
      <xdr:col>10</xdr:col>
      <xdr:colOff>2320636</xdr:colOff>
      <xdr:row>122</xdr:row>
      <xdr:rowOff>346363</xdr:rowOff>
    </xdr:to>
    <xdr:sp macro="" textlink="">
      <xdr:nvSpPr>
        <xdr:cNvPr id="820" name="Isosceles Triangle 819">
          <a:extLst>
            <a:ext uri="{FF2B5EF4-FFF2-40B4-BE49-F238E27FC236}">
              <a16:creationId xmlns:a16="http://schemas.microsoft.com/office/drawing/2014/main" id="{38371E3D-E06A-40FE-99B2-C5D670A6B7A4}"/>
            </a:ext>
          </a:extLst>
        </xdr:cNvPr>
        <xdr:cNvSpPr/>
      </xdr:nvSpPr>
      <xdr:spPr>
        <a:xfrm rot="10800000">
          <a:off x="14088917" y="6814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123</xdr:row>
      <xdr:rowOff>196272</xdr:rowOff>
    </xdr:from>
    <xdr:to>
      <xdr:col>10</xdr:col>
      <xdr:colOff>2320636</xdr:colOff>
      <xdr:row>123</xdr:row>
      <xdr:rowOff>346363</xdr:rowOff>
    </xdr:to>
    <xdr:sp macro="" textlink="">
      <xdr:nvSpPr>
        <xdr:cNvPr id="821" name="Isosceles Triangle 820">
          <a:extLst>
            <a:ext uri="{FF2B5EF4-FFF2-40B4-BE49-F238E27FC236}">
              <a16:creationId xmlns:a16="http://schemas.microsoft.com/office/drawing/2014/main" id="{534C2BA3-099B-461B-8BA4-7780EDC1A2E8}"/>
            </a:ext>
          </a:extLst>
        </xdr:cNvPr>
        <xdr:cNvSpPr/>
      </xdr:nvSpPr>
      <xdr:spPr>
        <a:xfrm rot="10800000">
          <a:off x="14088917" y="6814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124</xdr:row>
      <xdr:rowOff>196272</xdr:rowOff>
    </xdr:from>
    <xdr:to>
      <xdr:col>10</xdr:col>
      <xdr:colOff>2320636</xdr:colOff>
      <xdr:row>124</xdr:row>
      <xdr:rowOff>346363</xdr:rowOff>
    </xdr:to>
    <xdr:sp macro="" textlink="">
      <xdr:nvSpPr>
        <xdr:cNvPr id="822" name="Isosceles Triangle 821">
          <a:extLst>
            <a:ext uri="{FF2B5EF4-FFF2-40B4-BE49-F238E27FC236}">
              <a16:creationId xmlns:a16="http://schemas.microsoft.com/office/drawing/2014/main" id="{FE3C50E8-81CE-48AC-BE29-D3FC0D287E1D}"/>
            </a:ext>
          </a:extLst>
        </xdr:cNvPr>
        <xdr:cNvSpPr/>
      </xdr:nvSpPr>
      <xdr:spPr>
        <a:xfrm rot="10800000">
          <a:off x="14088917" y="6814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823" name="Isosceles Triangle 822">
          <a:extLst>
            <a:ext uri="{FF2B5EF4-FFF2-40B4-BE49-F238E27FC236}">
              <a16:creationId xmlns:a16="http://schemas.microsoft.com/office/drawing/2014/main" id="{4C606D89-3A00-49B7-9972-C0F11FF25391}"/>
            </a:ext>
          </a:extLst>
        </xdr:cNvPr>
        <xdr:cNvSpPr/>
      </xdr:nvSpPr>
      <xdr:spPr>
        <a:xfrm rot="10800000">
          <a:off x="14088917" y="6814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61</xdr:row>
      <xdr:rowOff>196272</xdr:rowOff>
    </xdr:from>
    <xdr:to>
      <xdr:col>10</xdr:col>
      <xdr:colOff>2320636</xdr:colOff>
      <xdr:row>61</xdr:row>
      <xdr:rowOff>346363</xdr:rowOff>
    </xdr:to>
    <xdr:sp macro="" textlink="">
      <xdr:nvSpPr>
        <xdr:cNvPr id="824" name="Isosceles Triangle 823">
          <a:extLst>
            <a:ext uri="{FF2B5EF4-FFF2-40B4-BE49-F238E27FC236}">
              <a16:creationId xmlns:a16="http://schemas.microsoft.com/office/drawing/2014/main" id="{C0943930-7934-4721-BA63-7FBC16C69389}"/>
            </a:ext>
          </a:extLst>
        </xdr:cNvPr>
        <xdr:cNvSpPr/>
      </xdr:nvSpPr>
      <xdr:spPr>
        <a:xfrm rot="10800000">
          <a:off x="14088917" y="6871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61</xdr:row>
      <xdr:rowOff>196272</xdr:rowOff>
    </xdr:from>
    <xdr:to>
      <xdr:col>10</xdr:col>
      <xdr:colOff>2320636</xdr:colOff>
      <xdr:row>61</xdr:row>
      <xdr:rowOff>346363</xdr:rowOff>
    </xdr:to>
    <xdr:sp macro="" textlink="">
      <xdr:nvSpPr>
        <xdr:cNvPr id="825" name="Isosceles Triangle 824">
          <a:extLst>
            <a:ext uri="{FF2B5EF4-FFF2-40B4-BE49-F238E27FC236}">
              <a16:creationId xmlns:a16="http://schemas.microsoft.com/office/drawing/2014/main" id="{4FF40346-381B-4C6B-8C15-D0F30ACE2F31}"/>
            </a:ext>
          </a:extLst>
        </xdr:cNvPr>
        <xdr:cNvSpPr/>
      </xdr:nvSpPr>
      <xdr:spPr>
        <a:xfrm rot="10800000">
          <a:off x="14088917" y="6871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826" name="Isosceles Triangle 825">
          <a:extLst>
            <a:ext uri="{FF2B5EF4-FFF2-40B4-BE49-F238E27FC236}">
              <a16:creationId xmlns:a16="http://schemas.microsoft.com/office/drawing/2014/main" id="{4CAB825A-4083-425D-8083-5D5711EB6E78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827" name="Isosceles Triangle 826">
          <a:extLst>
            <a:ext uri="{FF2B5EF4-FFF2-40B4-BE49-F238E27FC236}">
              <a16:creationId xmlns:a16="http://schemas.microsoft.com/office/drawing/2014/main" id="{8338A01C-C157-4043-8167-F50383FE2657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828" name="Isosceles Triangle 827">
          <a:extLst>
            <a:ext uri="{FF2B5EF4-FFF2-40B4-BE49-F238E27FC236}">
              <a16:creationId xmlns:a16="http://schemas.microsoft.com/office/drawing/2014/main" id="{1AC8C512-38E0-45DE-847A-482C51439398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829" name="Isosceles Triangle 828">
          <a:extLst>
            <a:ext uri="{FF2B5EF4-FFF2-40B4-BE49-F238E27FC236}">
              <a16:creationId xmlns:a16="http://schemas.microsoft.com/office/drawing/2014/main" id="{5F5667D6-EF59-4164-BE7D-69F42949E7A1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830" name="Isosceles Triangle 829">
          <a:extLst>
            <a:ext uri="{FF2B5EF4-FFF2-40B4-BE49-F238E27FC236}">
              <a16:creationId xmlns:a16="http://schemas.microsoft.com/office/drawing/2014/main" id="{D91A5FF9-13BB-440B-B062-4775BB0AD2C4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831" name="Isosceles Triangle 830">
          <a:extLst>
            <a:ext uri="{FF2B5EF4-FFF2-40B4-BE49-F238E27FC236}">
              <a16:creationId xmlns:a16="http://schemas.microsoft.com/office/drawing/2014/main" id="{5AEC1B15-9DC3-4C02-BB99-EA4E845B714F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832" name="Isosceles Triangle 831">
          <a:extLst>
            <a:ext uri="{FF2B5EF4-FFF2-40B4-BE49-F238E27FC236}">
              <a16:creationId xmlns:a16="http://schemas.microsoft.com/office/drawing/2014/main" id="{771135D8-C19D-4753-9CC5-EEB3C2C05A2C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833" name="Isosceles Triangle 832">
          <a:extLst>
            <a:ext uri="{FF2B5EF4-FFF2-40B4-BE49-F238E27FC236}">
              <a16:creationId xmlns:a16="http://schemas.microsoft.com/office/drawing/2014/main" id="{0537E884-9DBC-4218-B3AB-3B46533C6F37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834" name="Isosceles Triangle 833">
          <a:extLst>
            <a:ext uri="{FF2B5EF4-FFF2-40B4-BE49-F238E27FC236}">
              <a16:creationId xmlns:a16="http://schemas.microsoft.com/office/drawing/2014/main" id="{8B20AA1A-85C5-4CCB-BE9E-A9D96E56B1F6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835" name="Isosceles Triangle 834">
          <a:extLst>
            <a:ext uri="{FF2B5EF4-FFF2-40B4-BE49-F238E27FC236}">
              <a16:creationId xmlns:a16="http://schemas.microsoft.com/office/drawing/2014/main" id="{86C4FFE2-2006-46FE-BCDE-1762B31118E8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836" name="Isosceles Triangle 835">
          <a:extLst>
            <a:ext uri="{FF2B5EF4-FFF2-40B4-BE49-F238E27FC236}">
              <a16:creationId xmlns:a16="http://schemas.microsoft.com/office/drawing/2014/main" id="{78043B02-26AB-48B6-9ADD-1049B9A241B9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837" name="Isosceles Triangle 836">
          <a:extLst>
            <a:ext uri="{FF2B5EF4-FFF2-40B4-BE49-F238E27FC236}">
              <a16:creationId xmlns:a16="http://schemas.microsoft.com/office/drawing/2014/main" id="{B684266F-3102-49CE-9471-E385DA386BA4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85</xdr:row>
      <xdr:rowOff>196272</xdr:rowOff>
    </xdr:from>
    <xdr:to>
      <xdr:col>10</xdr:col>
      <xdr:colOff>2320636</xdr:colOff>
      <xdr:row>85</xdr:row>
      <xdr:rowOff>346363</xdr:rowOff>
    </xdr:to>
    <xdr:sp macro="" textlink="">
      <xdr:nvSpPr>
        <xdr:cNvPr id="838" name="Isosceles Triangle 837">
          <a:extLst>
            <a:ext uri="{FF2B5EF4-FFF2-40B4-BE49-F238E27FC236}">
              <a16:creationId xmlns:a16="http://schemas.microsoft.com/office/drawing/2014/main" id="{59487616-9BF9-4C69-AC66-034A9EDDAB49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86</xdr:row>
      <xdr:rowOff>196272</xdr:rowOff>
    </xdr:from>
    <xdr:to>
      <xdr:col>10</xdr:col>
      <xdr:colOff>2320636</xdr:colOff>
      <xdr:row>86</xdr:row>
      <xdr:rowOff>346363</xdr:rowOff>
    </xdr:to>
    <xdr:sp macro="" textlink="">
      <xdr:nvSpPr>
        <xdr:cNvPr id="839" name="Isosceles Triangle 838">
          <a:extLst>
            <a:ext uri="{FF2B5EF4-FFF2-40B4-BE49-F238E27FC236}">
              <a16:creationId xmlns:a16="http://schemas.microsoft.com/office/drawing/2014/main" id="{27F26651-C7B2-4BD2-9A2F-EC8B7B27700C}"/>
            </a:ext>
          </a:extLst>
        </xdr:cNvPr>
        <xdr:cNvSpPr/>
      </xdr:nvSpPr>
      <xdr:spPr>
        <a:xfrm rot="10800000">
          <a:off x="14088917" y="3442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87</xdr:row>
      <xdr:rowOff>196272</xdr:rowOff>
    </xdr:from>
    <xdr:to>
      <xdr:col>10</xdr:col>
      <xdr:colOff>2320636</xdr:colOff>
      <xdr:row>87</xdr:row>
      <xdr:rowOff>346363</xdr:rowOff>
    </xdr:to>
    <xdr:sp macro="" textlink="">
      <xdr:nvSpPr>
        <xdr:cNvPr id="840" name="Isosceles Triangle 839">
          <a:extLst>
            <a:ext uri="{FF2B5EF4-FFF2-40B4-BE49-F238E27FC236}">
              <a16:creationId xmlns:a16="http://schemas.microsoft.com/office/drawing/2014/main" id="{F0A66547-BC63-4EFB-B0CC-F7DC7A7A80BA}"/>
            </a:ext>
          </a:extLst>
        </xdr:cNvPr>
        <xdr:cNvSpPr/>
      </xdr:nvSpPr>
      <xdr:spPr>
        <a:xfrm rot="10800000">
          <a:off x="14088917" y="3499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88</xdr:row>
      <xdr:rowOff>196272</xdr:rowOff>
    </xdr:from>
    <xdr:to>
      <xdr:col>10</xdr:col>
      <xdr:colOff>2320636</xdr:colOff>
      <xdr:row>88</xdr:row>
      <xdr:rowOff>346363</xdr:rowOff>
    </xdr:to>
    <xdr:sp macro="" textlink="">
      <xdr:nvSpPr>
        <xdr:cNvPr id="841" name="Isosceles Triangle 840">
          <a:extLst>
            <a:ext uri="{FF2B5EF4-FFF2-40B4-BE49-F238E27FC236}">
              <a16:creationId xmlns:a16="http://schemas.microsoft.com/office/drawing/2014/main" id="{DA31D3EC-80E9-4491-A2BD-62B843BE3642}"/>
            </a:ext>
          </a:extLst>
        </xdr:cNvPr>
        <xdr:cNvSpPr/>
      </xdr:nvSpPr>
      <xdr:spPr>
        <a:xfrm rot="10800000">
          <a:off x="14088917" y="3556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842" name="Isosceles Triangle 841">
          <a:extLst>
            <a:ext uri="{FF2B5EF4-FFF2-40B4-BE49-F238E27FC236}">
              <a16:creationId xmlns:a16="http://schemas.microsoft.com/office/drawing/2014/main" id="{35663651-325F-4C4B-93EE-F82D270B3DD2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85</xdr:row>
      <xdr:rowOff>196272</xdr:rowOff>
    </xdr:from>
    <xdr:to>
      <xdr:col>10</xdr:col>
      <xdr:colOff>2320636</xdr:colOff>
      <xdr:row>85</xdr:row>
      <xdr:rowOff>346363</xdr:rowOff>
    </xdr:to>
    <xdr:sp macro="" textlink="">
      <xdr:nvSpPr>
        <xdr:cNvPr id="843" name="Isosceles Triangle 842">
          <a:extLst>
            <a:ext uri="{FF2B5EF4-FFF2-40B4-BE49-F238E27FC236}">
              <a16:creationId xmlns:a16="http://schemas.microsoft.com/office/drawing/2014/main" id="{F13FCA41-5611-4310-8D75-5D75867FD97A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85</xdr:row>
      <xdr:rowOff>196272</xdr:rowOff>
    </xdr:from>
    <xdr:to>
      <xdr:col>10</xdr:col>
      <xdr:colOff>2320636</xdr:colOff>
      <xdr:row>85</xdr:row>
      <xdr:rowOff>346363</xdr:rowOff>
    </xdr:to>
    <xdr:sp macro="" textlink="">
      <xdr:nvSpPr>
        <xdr:cNvPr id="864" name="Isosceles Triangle 863">
          <a:extLst>
            <a:ext uri="{FF2B5EF4-FFF2-40B4-BE49-F238E27FC236}">
              <a16:creationId xmlns:a16="http://schemas.microsoft.com/office/drawing/2014/main" id="{CE71B69F-60B4-4ADA-B527-50BD531BC873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86</xdr:row>
      <xdr:rowOff>196272</xdr:rowOff>
    </xdr:from>
    <xdr:to>
      <xdr:col>10</xdr:col>
      <xdr:colOff>2320636</xdr:colOff>
      <xdr:row>86</xdr:row>
      <xdr:rowOff>346363</xdr:rowOff>
    </xdr:to>
    <xdr:sp macro="" textlink="">
      <xdr:nvSpPr>
        <xdr:cNvPr id="865" name="Isosceles Triangle 864">
          <a:extLst>
            <a:ext uri="{FF2B5EF4-FFF2-40B4-BE49-F238E27FC236}">
              <a16:creationId xmlns:a16="http://schemas.microsoft.com/office/drawing/2014/main" id="{4FA26F87-20EA-4365-BF77-B4C4B8E55F77}"/>
            </a:ext>
          </a:extLst>
        </xdr:cNvPr>
        <xdr:cNvSpPr/>
      </xdr:nvSpPr>
      <xdr:spPr>
        <a:xfrm rot="10800000">
          <a:off x="14088917" y="3442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86</xdr:row>
      <xdr:rowOff>196272</xdr:rowOff>
    </xdr:from>
    <xdr:to>
      <xdr:col>10</xdr:col>
      <xdr:colOff>2320636</xdr:colOff>
      <xdr:row>86</xdr:row>
      <xdr:rowOff>346363</xdr:rowOff>
    </xdr:to>
    <xdr:sp macro="" textlink="">
      <xdr:nvSpPr>
        <xdr:cNvPr id="866" name="Isosceles Triangle 865">
          <a:extLst>
            <a:ext uri="{FF2B5EF4-FFF2-40B4-BE49-F238E27FC236}">
              <a16:creationId xmlns:a16="http://schemas.microsoft.com/office/drawing/2014/main" id="{E764F9C6-AE43-492B-8673-D848DC9D572F}"/>
            </a:ext>
          </a:extLst>
        </xdr:cNvPr>
        <xdr:cNvSpPr/>
      </xdr:nvSpPr>
      <xdr:spPr>
        <a:xfrm rot="10800000">
          <a:off x="14088917" y="3442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86</xdr:row>
      <xdr:rowOff>196272</xdr:rowOff>
    </xdr:from>
    <xdr:to>
      <xdr:col>10</xdr:col>
      <xdr:colOff>2320636</xdr:colOff>
      <xdr:row>86</xdr:row>
      <xdr:rowOff>346363</xdr:rowOff>
    </xdr:to>
    <xdr:sp macro="" textlink="">
      <xdr:nvSpPr>
        <xdr:cNvPr id="867" name="Isosceles Triangle 866">
          <a:extLst>
            <a:ext uri="{FF2B5EF4-FFF2-40B4-BE49-F238E27FC236}">
              <a16:creationId xmlns:a16="http://schemas.microsoft.com/office/drawing/2014/main" id="{EC0CD336-F2DF-4571-ABB7-7F4CD4E7A24A}"/>
            </a:ext>
          </a:extLst>
        </xdr:cNvPr>
        <xdr:cNvSpPr/>
      </xdr:nvSpPr>
      <xdr:spPr>
        <a:xfrm rot="10800000">
          <a:off x="14088917" y="3442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87</xdr:row>
      <xdr:rowOff>196272</xdr:rowOff>
    </xdr:from>
    <xdr:to>
      <xdr:col>10</xdr:col>
      <xdr:colOff>2320636</xdr:colOff>
      <xdr:row>87</xdr:row>
      <xdr:rowOff>346363</xdr:rowOff>
    </xdr:to>
    <xdr:sp macro="" textlink="">
      <xdr:nvSpPr>
        <xdr:cNvPr id="868" name="Isosceles Triangle 867">
          <a:extLst>
            <a:ext uri="{FF2B5EF4-FFF2-40B4-BE49-F238E27FC236}">
              <a16:creationId xmlns:a16="http://schemas.microsoft.com/office/drawing/2014/main" id="{00B6E030-B5CB-4F1B-BB27-B2AD93ACEA2D}"/>
            </a:ext>
          </a:extLst>
        </xdr:cNvPr>
        <xdr:cNvSpPr/>
      </xdr:nvSpPr>
      <xdr:spPr>
        <a:xfrm rot="10800000">
          <a:off x="14088917" y="3499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87</xdr:row>
      <xdr:rowOff>196272</xdr:rowOff>
    </xdr:from>
    <xdr:to>
      <xdr:col>10</xdr:col>
      <xdr:colOff>2320636</xdr:colOff>
      <xdr:row>87</xdr:row>
      <xdr:rowOff>346363</xdr:rowOff>
    </xdr:to>
    <xdr:sp macro="" textlink="">
      <xdr:nvSpPr>
        <xdr:cNvPr id="869" name="Isosceles Triangle 868">
          <a:extLst>
            <a:ext uri="{FF2B5EF4-FFF2-40B4-BE49-F238E27FC236}">
              <a16:creationId xmlns:a16="http://schemas.microsoft.com/office/drawing/2014/main" id="{7B273491-4E44-421B-8926-AEC24FF75550}"/>
            </a:ext>
          </a:extLst>
        </xdr:cNvPr>
        <xdr:cNvSpPr/>
      </xdr:nvSpPr>
      <xdr:spPr>
        <a:xfrm rot="10800000">
          <a:off x="14088917" y="3499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87</xdr:row>
      <xdr:rowOff>196272</xdr:rowOff>
    </xdr:from>
    <xdr:to>
      <xdr:col>10</xdr:col>
      <xdr:colOff>2320636</xdr:colOff>
      <xdr:row>87</xdr:row>
      <xdr:rowOff>346363</xdr:rowOff>
    </xdr:to>
    <xdr:sp macro="" textlink="">
      <xdr:nvSpPr>
        <xdr:cNvPr id="870" name="Isosceles Triangle 869">
          <a:extLst>
            <a:ext uri="{FF2B5EF4-FFF2-40B4-BE49-F238E27FC236}">
              <a16:creationId xmlns:a16="http://schemas.microsoft.com/office/drawing/2014/main" id="{8FE1C325-F07A-433E-B324-DB1FA7C036E0}"/>
            </a:ext>
          </a:extLst>
        </xdr:cNvPr>
        <xdr:cNvSpPr/>
      </xdr:nvSpPr>
      <xdr:spPr>
        <a:xfrm rot="10800000">
          <a:off x="14088917" y="3499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88</xdr:row>
      <xdr:rowOff>196272</xdr:rowOff>
    </xdr:from>
    <xdr:to>
      <xdr:col>10</xdr:col>
      <xdr:colOff>2320636</xdr:colOff>
      <xdr:row>88</xdr:row>
      <xdr:rowOff>346363</xdr:rowOff>
    </xdr:to>
    <xdr:sp macro="" textlink="">
      <xdr:nvSpPr>
        <xdr:cNvPr id="871" name="Isosceles Triangle 870">
          <a:extLst>
            <a:ext uri="{FF2B5EF4-FFF2-40B4-BE49-F238E27FC236}">
              <a16:creationId xmlns:a16="http://schemas.microsoft.com/office/drawing/2014/main" id="{846FECBE-6C36-423E-BAE3-812EA40DB3C0}"/>
            </a:ext>
          </a:extLst>
        </xdr:cNvPr>
        <xdr:cNvSpPr/>
      </xdr:nvSpPr>
      <xdr:spPr>
        <a:xfrm rot="10800000">
          <a:off x="14088917" y="3556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88</xdr:row>
      <xdr:rowOff>196272</xdr:rowOff>
    </xdr:from>
    <xdr:to>
      <xdr:col>10</xdr:col>
      <xdr:colOff>2320636</xdr:colOff>
      <xdr:row>88</xdr:row>
      <xdr:rowOff>346363</xdr:rowOff>
    </xdr:to>
    <xdr:sp macro="" textlink="">
      <xdr:nvSpPr>
        <xdr:cNvPr id="872" name="Isosceles Triangle 871">
          <a:extLst>
            <a:ext uri="{FF2B5EF4-FFF2-40B4-BE49-F238E27FC236}">
              <a16:creationId xmlns:a16="http://schemas.microsoft.com/office/drawing/2014/main" id="{34EF11FE-F28A-446F-BAA0-7ED64FA98DCE}"/>
            </a:ext>
          </a:extLst>
        </xdr:cNvPr>
        <xdr:cNvSpPr/>
      </xdr:nvSpPr>
      <xdr:spPr>
        <a:xfrm rot="10800000">
          <a:off x="14088917" y="3556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88</xdr:row>
      <xdr:rowOff>196272</xdr:rowOff>
    </xdr:from>
    <xdr:to>
      <xdr:col>10</xdr:col>
      <xdr:colOff>2320636</xdr:colOff>
      <xdr:row>88</xdr:row>
      <xdr:rowOff>346363</xdr:rowOff>
    </xdr:to>
    <xdr:sp macro="" textlink="">
      <xdr:nvSpPr>
        <xdr:cNvPr id="873" name="Isosceles Triangle 872">
          <a:extLst>
            <a:ext uri="{FF2B5EF4-FFF2-40B4-BE49-F238E27FC236}">
              <a16:creationId xmlns:a16="http://schemas.microsoft.com/office/drawing/2014/main" id="{34CE6027-DC5E-400F-AB35-41739EFE4372}"/>
            </a:ext>
          </a:extLst>
        </xdr:cNvPr>
        <xdr:cNvSpPr/>
      </xdr:nvSpPr>
      <xdr:spPr>
        <a:xfrm rot="10800000">
          <a:off x="14088917" y="3556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874" name="Isosceles Triangle 873">
          <a:extLst>
            <a:ext uri="{FF2B5EF4-FFF2-40B4-BE49-F238E27FC236}">
              <a16:creationId xmlns:a16="http://schemas.microsoft.com/office/drawing/2014/main" id="{D7219217-298E-4ABE-ACD6-B13B3F778EF5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875" name="Isosceles Triangle 874">
          <a:extLst>
            <a:ext uri="{FF2B5EF4-FFF2-40B4-BE49-F238E27FC236}">
              <a16:creationId xmlns:a16="http://schemas.microsoft.com/office/drawing/2014/main" id="{EA3FB82C-8C2E-4A84-AF0E-E6A488D55602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876" name="Isosceles Triangle 875">
          <a:extLst>
            <a:ext uri="{FF2B5EF4-FFF2-40B4-BE49-F238E27FC236}">
              <a16:creationId xmlns:a16="http://schemas.microsoft.com/office/drawing/2014/main" id="{1BE14506-77E1-4B08-BE39-8B6134BCEE0D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61</xdr:row>
      <xdr:rowOff>196272</xdr:rowOff>
    </xdr:from>
    <xdr:to>
      <xdr:col>10</xdr:col>
      <xdr:colOff>2320636</xdr:colOff>
      <xdr:row>61</xdr:row>
      <xdr:rowOff>346363</xdr:rowOff>
    </xdr:to>
    <xdr:sp macro="" textlink="">
      <xdr:nvSpPr>
        <xdr:cNvPr id="877" name="Isosceles Triangle 876">
          <a:extLst>
            <a:ext uri="{FF2B5EF4-FFF2-40B4-BE49-F238E27FC236}">
              <a16:creationId xmlns:a16="http://schemas.microsoft.com/office/drawing/2014/main" id="{9E1D7F23-9CEA-4666-A82B-F7355E5B0FEC}"/>
            </a:ext>
          </a:extLst>
        </xdr:cNvPr>
        <xdr:cNvSpPr/>
      </xdr:nvSpPr>
      <xdr:spPr>
        <a:xfrm rot="10800000">
          <a:off x="14088917" y="3442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61</xdr:row>
      <xdr:rowOff>196272</xdr:rowOff>
    </xdr:from>
    <xdr:to>
      <xdr:col>10</xdr:col>
      <xdr:colOff>2320636</xdr:colOff>
      <xdr:row>61</xdr:row>
      <xdr:rowOff>346363</xdr:rowOff>
    </xdr:to>
    <xdr:sp macro="" textlink="">
      <xdr:nvSpPr>
        <xdr:cNvPr id="878" name="Isosceles Triangle 877">
          <a:extLst>
            <a:ext uri="{FF2B5EF4-FFF2-40B4-BE49-F238E27FC236}">
              <a16:creationId xmlns:a16="http://schemas.microsoft.com/office/drawing/2014/main" id="{6F359E5A-28A9-42F7-8502-DD35D76E0FF5}"/>
            </a:ext>
          </a:extLst>
        </xdr:cNvPr>
        <xdr:cNvSpPr/>
      </xdr:nvSpPr>
      <xdr:spPr>
        <a:xfrm rot="10800000">
          <a:off x="14088917" y="3442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61</xdr:row>
      <xdr:rowOff>196272</xdr:rowOff>
    </xdr:from>
    <xdr:to>
      <xdr:col>10</xdr:col>
      <xdr:colOff>2320636</xdr:colOff>
      <xdr:row>61</xdr:row>
      <xdr:rowOff>346363</xdr:rowOff>
    </xdr:to>
    <xdr:sp macro="" textlink="">
      <xdr:nvSpPr>
        <xdr:cNvPr id="879" name="Isosceles Triangle 878">
          <a:extLst>
            <a:ext uri="{FF2B5EF4-FFF2-40B4-BE49-F238E27FC236}">
              <a16:creationId xmlns:a16="http://schemas.microsoft.com/office/drawing/2014/main" id="{4B22602E-384E-405D-B507-0556636087F9}"/>
            </a:ext>
          </a:extLst>
        </xdr:cNvPr>
        <xdr:cNvSpPr/>
      </xdr:nvSpPr>
      <xdr:spPr>
        <a:xfrm rot="10800000">
          <a:off x="14088917" y="3442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61</xdr:row>
      <xdr:rowOff>196272</xdr:rowOff>
    </xdr:from>
    <xdr:to>
      <xdr:col>10</xdr:col>
      <xdr:colOff>2320636</xdr:colOff>
      <xdr:row>61</xdr:row>
      <xdr:rowOff>346363</xdr:rowOff>
    </xdr:to>
    <xdr:sp macro="" textlink="">
      <xdr:nvSpPr>
        <xdr:cNvPr id="900" name="Isosceles Triangle 899">
          <a:extLst>
            <a:ext uri="{FF2B5EF4-FFF2-40B4-BE49-F238E27FC236}">
              <a16:creationId xmlns:a16="http://schemas.microsoft.com/office/drawing/2014/main" id="{6BAD478A-805D-401F-BD15-14F938041C16}"/>
            </a:ext>
          </a:extLst>
        </xdr:cNvPr>
        <xdr:cNvSpPr/>
      </xdr:nvSpPr>
      <xdr:spPr>
        <a:xfrm rot="10800000">
          <a:off x="14088917" y="3442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901" name="Isosceles Triangle 900">
          <a:extLst>
            <a:ext uri="{FF2B5EF4-FFF2-40B4-BE49-F238E27FC236}">
              <a16:creationId xmlns:a16="http://schemas.microsoft.com/office/drawing/2014/main" id="{54BF54B1-CB20-4A7B-9FBA-FEBCE4DA79E7}"/>
            </a:ext>
          </a:extLst>
        </xdr:cNvPr>
        <xdr:cNvSpPr/>
      </xdr:nvSpPr>
      <xdr:spPr>
        <a:xfrm rot="10800000">
          <a:off x="14088917" y="3442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902" name="Isosceles Triangle 901">
          <a:extLst>
            <a:ext uri="{FF2B5EF4-FFF2-40B4-BE49-F238E27FC236}">
              <a16:creationId xmlns:a16="http://schemas.microsoft.com/office/drawing/2014/main" id="{76907C41-B973-402B-BE2A-0AA6731CC9D8}"/>
            </a:ext>
          </a:extLst>
        </xdr:cNvPr>
        <xdr:cNvSpPr/>
      </xdr:nvSpPr>
      <xdr:spPr>
        <a:xfrm rot="10800000">
          <a:off x="14088917" y="3442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903" name="Isosceles Triangle 902">
          <a:extLst>
            <a:ext uri="{FF2B5EF4-FFF2-40B4-BE49-F238E27FC236}">
              <a16:creationId xmlns:a16="http://schemas.microsoft.com/office/drawing/2014/main" id="{FD135B77-A54D-4120-A747-2D8353C3AD85}"/>
            </a:ext>
          </a:extLst>
        </xdr:cNvPr>
        <xdr:cNvSpPr/>
      </xdr:nvSpPr>
      <xdr:spPr>
        <a:xfrm rot="10800000">
          <a:off x="14088917" y="3442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904" name="Isosceles Triangle 903">
          <a:extLst>
            <a:ext uri="{FF2B5EF4-FFF2-40B4-BE49-F238E27FC236}">
              <a16:creationId xmlns:a16="http://schemas.microsoft.com/office/drawing/2014/main" id="{D57D76BB-493C-4793-AC97-F5E8C6E53A48}"/>
            </a:ext>
          </a:extLst>
        </xdr:cNvPr>
        <xdr:cNvSpPr/>
      </xdr:nvSpPr>
      <xdr:spPr>
        <a:xfrm rot="10800000">
          <a:off x="14088917" y="3442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56</xdr:row>
      <xdr:rowOff>196272</xdr:rowOff>
    </xdr:from>
    <xdr:to>
      <xdr:col>8</xdr:col>
      <xdr:colOff>2320636</xdr:colOff>
      <xdr:row>56</xdr:row>
      <xdr:rowOff>346363</xdr:rowOff>
    </xdr:to>
    <xdr:sp macro="" textlink="">
      <xdr:nvSpPr>
        <xdr:cNvPr id="931" name="Isosceles Triangle 930">
          <a:extLst>
            <a:ext uri="{FF2B5EF4-FFF2-40B4-BE49-F238E27FC236}">
              <a16:creationId xmlns:a16="http://schemas.microsoft.com/office/drawing/2014/main" id="{097A7A83-46E7-4B9C-A6B0-10A16784CEA1}"/>
            </a:ext>
          </a:extLst>
        </xdr:cNvPr>
        <xdr:cNvSpPr/>
      </xdr:nvSpPr>
      <xdr:spPr>
        <a:xfrm rot="10800000">
          <a:off x="106218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56</xdr:row>
      <xdr:rowOff>196272</xdr:rowOff>
    </xdr:from>
    <xdr:to>
      <xdr:col>8</xdr:col>
      <xdr:colOff>2320636</xdr:colOff>
      <xdr:row>56</xdr:row>
      <xdr:rowOff>346363</xdr:rowOff>
    </xdr:to>
    <xdr:sp macro="" textlink="">
      <xdr:nvSpPr>
        <xdr:cNvPr id="932" name="Isosceles Triangle 931">
          <a:extLst>
            <a:ext uri="{FF2B5EF4-FFF2-40B4-BE49-F238E27FC236}">
              <a16:creationId xmlns:a16="http://schemas.microsoft.com/office/drawing/2014/main" id="{BBA748A7-025F-4259-BC7A-CA213E3CDD60}"/>
            </a:ext>
          </a:extLst>
        </xdr:cNvPr>
        <xdr:cNvSpPr/>
      </xdr:nvSpPr>
      <xdr:spPr>
        <a:xfrm rot="10800000">
          <a:off x="106218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57</xdr:row>
      <xdr:rowOff>196272</xdr:rowOff>
    </xdr:from>
    <xdr:to>
      <xdr:col>8</xdr:col>
      <xdr:colOff>2320636</xdr:colOff>
      <xdr:row>57</xdr:row>
      <xdr:rowOff>346363</xdr:rowOff>
    </xdr:to>
    <xdr:sp macro="" textlink="">
      <xdr:nvSpPr>
        <xdr:cNvPr id="933" name="Isosceles Triangle 932">
          <a:extLst>
            <a:ext uri="{FF2B5EF4-FFF2-40B4-BE49-F238E27FC236}">
              <a16:creationId xmlns:a16="http://schemas.microsoft.com/office/drawing/2014/main" id="{F151D529-096A-4616-B7FE-CA72EA43C11E}"/>
            </a:ext>
          </a:extLst>
        </xdr:cNvPr>
        <xdr:cNvSpPr/>
      </xdr:nvSpPr>
      <xdr:spPr>
        <a:xfrm rot="10800000">
          <a:off x="106218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57</xdr:row>
      <xdr:rowOff>196272</xdr:rowOff>
    </xdr:from>
    <xdr:to>
      <xdr:col>8</xdr:col>
      <xdr:colOff>2320636</xdr:colOff>
      <xdr:row>57</xdr:row>
      <xdr:rowOff>346363</xdr:rowOff>
    </xdr:to>
    <xdr:sp macro="" textlink="">
      <xdr:nvSpPr>
        <xdr:cNvPr id="934" name="Isosceles Triangle 933">
          <a:extLst>
            <a:ext uri="{FF2B5EF4-FFF2-40B4-BE49-F238E27FC236}">
              <a16:creationId xmlns:a16="http://schemas.microsoft.com/office/drawing/2014/main" id="{19690F14-0521-4172-AD3F-5BFABBED6F2B}"/>
            </a:ext>
          </a:extLst>
        </xdr:cNvPr>
        <xdr:cNvSpPr/>
      </xdr:nvSpPr>
      <xdr:spPr>
        <a:xfrm rot="10800000">
          <a:off x="106218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58</xdr:row>
      <xdr:rowOff>196272</xdr:rowOff>
    </xdr:from>
    <xdr:to>
      <xdr:col>8</xdr:col>
      <xdr:colOff>2320636</xdr:colOff>
      <xdr:row>58</xdr:row>
      <xdr:rowOff>346363</xdr:rowOff>
    </xdr:to>
    <xdr:sp macro="" textlink="">
      <xdr:nvSpPr>
        <xdr:cNvPr id="935" name="Isosceles Triangle 934">
          <a:extLst>
            <a:ext uri="{FF2B5EF4-FFF2-40B4-BE49-F238E27FC236}">
              <a16:creationId xmlns:a16="http://schemas.microsoft.com/office/drawing/2014/main" id="{D7B77E95-B3DF-45A4-8B4F-CF102516F1DF}"/>
            </a:ext>
          </a:extLst>
        </xdr:cNvPr>
        <xdr:cNvSpPr/>
      </xdr:nvSpPr>
      <xdr:spPr>
        <a:xfrm rot="10800000">
          <a:off x="106218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58</xdr:row>
      <xdr:rowOff>196272</xdr:rowOff>
    </xdr:from>
    <xdr:to>
      <xdr:col>8</xdr:col>
      <xdr:colOff>2320636</xdr:colOff>
      <xdr:row>58</xdr:row>
      <xdr:rowOff>346363</xdr:rowOff>
    </xdr:to>
    <xdr:sp macro="" textlink="">
      <xdr:nvSpPr>
        <xdr:cNvPr id="936" name="Isosceles Triangle 935">
          <a:extLst>
            <a:ext uri="{FF2B5EF4-FFF2-40B4-BE49-F238E27FC236}">
              <a16:creationId xmlns:a16="http://schemas.microsoft.com/office/drawing/2014/main" id="{71F7E425-8160-43A0-8C55-3720318E7E4F}"/>
            </a:ext>
          </a:extLst>
        </xdr:cNvPr>
        <xdr:cNvSpPr/>
      </xdr:nvSpPr>
      <xdr:spPr>
        <a:xfrm rot="10800000">
          <a:off x="106218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937" name="Isosceles Triangle 936">
          <a:extLst>
            <a:ext uri="{FF2B5EF4-FFF2-40B4-BE49-F238E27FC236}">
              <a16:creationId xmlns:a16="http://schemas.microsoft.com/office/drawing/2014/main" id="{1F1D59D9-6B73-4231-9841-296CC6F1E90D}"/>
            </a:ext>
          </a:extLst>
        </xdr:cNvPr>
        <xdr:cNvSpPr/>
      </xdr:nvSpPr>
      <xdr:spPr>
        <a:xfrm rot="10800000">
          <a:off x="14088917" y="7499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938" name="Isosceles Triangle 937">
          <a:extLst>
            <a:ext uri="{FF2B5EF4-FFF2-40B4-BE49-F238E27FC236}">
              <a16:creationId xmlns:a16="http://schemas.microsoft.com/office/drawing/2014/main" id="{F8A47E4A-7B25-4B5E-B50C-0BA3C7C9CB9E}"/>
            </a:ext>
          </a:extLst>
        </xdr:cNvPr>
        <xdr:cNvSpPr/>
      </xdr:nvSpPr>
      <xdr:spPr>
        <a:xfrm rot="10800000">
          <a:off x="14088917" y="7499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49</xdr:row>
      <xdr:rowOff>196272</xdr:rowOff>
    </xdr:from>
    <xdr:to>
      <xdr:col>10</xdr:col>
      <xdr:colOff>2320636</xdr:colOff>
      <xdr:row>49</xdr:row>
      <xdr:rowOff>346363</xdr:rowOff>
    </xdr:to>
    <xdr:sp macro="" textlink="">
      <xdr:nvSpPr>
        <xdr:cNvPr id="939" name="Isosceles Triangle 938">
          <a:extLst>
            <a:ext uri="{FF2B5EF4-FFF2-40B4-BE49-F238E27FC236}">
              <a16:creationId xmlns:a16="http://schemas.microsoft.com/office/drawing/2014/main" id="{B096CDAC-DE9D-4D85-A343-5FBF88AA54C9}"/>
            </a:ext>
          </a:extLst>
        </xdr:cNvPr>
        <xdr:cNvSpPr/>
      </xdr:nvSpPr>
      <xdr:spPr>
        <a:xfrm rot="10800000">
          <a:off x="10621817" y="2756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49</xdr:row>
      <xdr:rowOff>196272</xdr:rowOff>
    </xdr:from>
    <xdr:to>
      <xdr:col>10</xdr:col>
      <xdr:colOff>2320636</xdr:colOff>
      <xdr:row>49</xdr:row>
      <xdr:rowOff>346363</xdr:rowOff>
    </xdr:to>
    <xdr:sp macro="" textlink="">
      <xdr:nvSpPr>
        <xdr:cNvPr id="940" name="Isosceles Triangle 939">
          <a:extLst>
            <a:ext uri="{FF2B5EF4-FFF2-40B4-BE49-F238E27FC236}">
              <a16:creationId xmlns:a16="http://schemas.microsoft.com/office/drawing/2014/main" id="{6E1AB5AD-85CF-4D56-9DDD-E2605CD25E4E}"/>
            </a:ext>
          </a:extLst>
        </xdr:cNvPr>
        <xdr:cNvSpPr/>
      </xdr:nvSpPr>
      <xdr:spPr>
        <a:xfrm rot="10800000">
          <a:off x="10621817" y="2756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51</xdr:row>
      <xdr:rowOff>196272</xdr:rowOff>
    </xdr:from>
    <xdr:to>
      <xdr:col>10</xdr:col>
      <xdr:colOff>2320636</xdr:colOff>
      <xdr:row>51</xdr:row>
      <xdr:rowOff>346363</xdr:rowOff>
    </xdr:to>
    <xdr:sp macro="" textlink="">
      <xdr:nvSpPr>
        <xdr:cNvPr id="941" name="Isosceles Triangle 940">
          <a:extLst>
            <a:ext uri="{FF2B5EF4-FFF2-40B4-BE49-F238E27FC236}">
              <a16:creationId xmlns:a16="http://schemas.microsoft.com/office/drawing/2014/main" id="{0922AC5C-6C4F-4055-81AF-9334AD9F0AFD}"/>
            </a:ext>
          </a:extLst>
        </xdr:cNvPr>
        <xdr:cNvSpPr/>
      </xdr:nvSpPr>
      <xdr:spPr>
        <a:xfrm rot="10800000">
          <a:off x="10621817" y="2756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51</xdr:row>
      <xdr:rowOff>196272</xdr:rowOff>
    </xdr:from>
    <xdr:to>
      <xdr:col>10</xdr:col>
      <xdr:colOff>2320636</xdr:colOff>
      <xdr:row>51</xdr:row>
      <xdr:rowOff>346363</xdr:rowOff>
    </xdr:to>
    <xdr:sp macro="" textlink="">
      <xdr:nvSpPr>
        <xdr:cNvPr id="942" name="Isosceles Triangle 941">
          <a:extLst>
            <a:ext uri="{FF2B5EF4-FFF2-40B4-BE49-F238E27FC236}">
              <a16:creationId xmlns:a16="http://schemas.microsoft.com/office/drawing/2014/main" id="{F8F887A8-0B85-4DA9-8135-1E451A7FF4CF}"/>
            </a:ext>
          </a:extLst>
        </xdr:cNvPr>
        <xdr:cNvSpPr/>
      </xdr:nvSpPr>
      <xdr:spPr>
        <a:xfrm rot="10800000">
          <a:off x="10621817" y="2756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50</xdr:row>
      <xdr:rowOff>196272</xdr:rowOff>
    </xdr:from>
    <xdr:to>
      <xdr:col>10</xdr:col>
      <xdr:colOff>2320636</xdr:colOff>
      <xdr:row>50</xdr:row>
      <xdr:rowOff>346363</xdr:rowOff>
    </xdr:to>
    <xdr:sp macro="" textlink="">
      <xdr:nvSpPr>
        <xdr:cNvPr id="943" name="Isosceles Triangle 942">
          <a:extLst>
            <a:ext uri="{FF2B5EF4-FFF2-40B4-BE49-F238E27FC236}">
              <a16:creationId xmlns:a16="http://schemas.microsoft.com/office/drawing/2014/main" id="{064D674D-EBF8-4F13-8894-0B36B5E56BC8}"/>
            </a:ext>
          </a:extLst>
        </xdr:cNvPr>
        <xdr:cNvSpPr/>
      </xdr:nvSpPr>
      <xdr:spPr>
        <a:xfrm rot="10800000">
          <a:off x="10621817" y="2699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50</xdr:row>
      <xdr:rowOff>196272</xdr:rowOff>
    </xdr:from>
    <xdr:to>
      <xdr:col>10</xdr:col>
      <xdr:colOff>2320636</xdr:colOff>
      <xdr:row>50</xdr:row>
      <xdr:rowOff>346363</xdr:rowOff>
    </xdr:to>
    <xdr:sp macro="" textlink="">
      <xdr:nvSpPr>
        <xdr:cNvPr id="944" name="Isosceles Triangle 943">
          <a:extLst>
            <a:ext uri="{FF2B5EF4-FFF2-40B4-BE49-F238E27FC236}">
              <a16:creationId xmlns:a16="http://schemas.microsoft.com/office/drawing/2014/main" id="{BFA655C9-A7AF-4979-923A-B4666E24D6CD}"/>
            </a:ext>
          </a:extLst>
        </xdr:cNvPr>
        <xdr:cNvSpPr/>
      </xdr:nvSpPr>
      <xdr:spPr>
        <a:xfrm rot="10800000">
          <a:off x="10621817" y="2699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52</xdr:row>
      <xdr:rowOff>196272</xdr:rowOff>
    </xdr:from>
    <xdr:to>
      <xdr:col>10</xdr:col>
      <xdr:colOff>2320636</xdr:colOff>
      <xdr:row>52</xdr:row>
      <xdr:rowOff>346363</xdr:rowOff>
    </xdr:to>
    <xdr:sp macro="" textlink="">
      <xdr:nvSpPr>
        <xdr:cNvPr id="945" name="Isosceles Triangle 944">
          <a:extLst>
            <a:ext uri="{FF2B5EF4-FFF2-40B4-BE49-F238E27FC236}">
              <a16:creationId xmlns:a16="http://schemas.microsoft.com/office/drawing/2014/main" id="{A9B8146A-9447-4F22-9F93-4DC09AA6F289}"/>
            </a:ext>
          </a:extLst>
        </xdr:cNvPr>
        <xdr:cNvSpPr/>
      </xdr:nvSpPr>
      <xdr:spPr>
        <a:xfrm rot="10800000">
          <a:off x="10621817" y="2699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52</xdr:row>
      <xdr:rowOff>196272</xdr:rowOff>
    </xdr:from>
    <xdr:to>
      <xdr:col>10</xdr:col>
      <xdr:colOff>2320636</xdr:colOff>
      <xdr:row>52</xdr:row>
      <xdr:rowOff>346363</xdr:rowOff>
    </xdr:to>
    <xdr:sp macro="" textlink="">
      <xdr:nvSpPr>
        <xdr:cNvPr id="946" name="Isosceles Triangle 945">
          <a:extLst>
            <a:ext uri="{FF2B5EF4-FFF2-40B4-BE49-F238E27FC236}">
              <a16:creationId xmlns:a16="http://schemas.microsoft.com/office/drawing/2014/main" id="{4A6FDB26-A0BD-4187-8AFA-9B14C1D56628}"/>
            </a:ext>
          </a:extLst>
        </xdr:cNvPr>
        <xdr:cNvSpPr/>
      </xdr:nvSpPr>
      <xdr:spPr>
        <a:xfrm rot="10800000">
          <a:off x="10621817" y="2699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19</xdr:row>
      <xdr:rowOff>196272</xdr:rowOff>
    </xdr:from>
    <xdr:to>
      <xdr:col>10</xdr:col>
      <xdr:colOff>2320636</xdr:colOff>
      <xdr:row>19</xdr:row>
      <xdr:rowOff>346363</xdr:rowOff>
    </xdr:to>
    <xdr:sp macro="" textlink="">
      <xdr:nvSpPr>
        <xdr:cNvPr id="947" name="Isosceles Triangle 946">
          <a:extLst>
            <a:ext uri="{FF2B5EF4-FFF2-40B4-BE49-F238E27FC236}">
              <a16:creationId xmlns:a16="http://schemas.microsoft.com/office/drawing/2014/main" id="{3171CAB7-3193-476C-938F-62FB83B0C78F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19</xdr:row>
      <xdr:rowOff>196272</xdr:rowOff>
    </xdr:from>
    <xdr:to>
      <xdr:col>10</xdr:col>
      <xdr:colOff>2320636</xdr:colOff>
      <xdr:row>19</xdr:row>
      <xdr:rowOff>346363</xdr:rowOff>
    </xdr:to>
    <xdr:sp macro="" textlink="">
      <xdr:nvSpPr>
        <xdr:cNvPr id="948" name="Isosceles Triangle 947">
          <a:extLst>
            <a:ext uri="{FF2B5EF4-FFF2-40B4-BE49-F238E27FC236}">
              <a16:creationId xmlns:a16="http://schemas.microsoft.com/office/drawing/2014/main" id="{76242224-1086-437E-BFA6-08973DE59524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19</xdr:row>
      <xdr:rowOff>196272</xdr:rowOff>
    </xdr:from>
    <xdr:to>
      <xdr:col>10</xdr:col>
      <xdr:colOff>2320636</xdr:colOff>
      <xdr:row>19</xdr:row>
      <xdr:rowOff>346363</xdr:rowOff>
    </xdr:to>
    <xdr:sp macro="" textlink="">
      <xdr:nvSpPr>
        <xdr:cNvPr id="949" name="Isosceles Triangle 948">
          <a:extLst>
            <a:ext uri="{FF2B5EF4-FFF2-40B4-BE49-F238E27FC236}">
              <a16:creationId xmlns:a16="http://schemas.microsoft.com/office/drawing/2014/main" id="{118D6F6A-062A-419C-9D47-1BF492252AD3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19</xdr:row>
      <xdr:rowOff>196272</xdr:rowOff>
    </xdr:from>
    <xdr:to>
      <xdr:col>10</xdr:col>
      <xdr:colOff>2320636</xdr:colOff>
      <xdr:row>19</xdr:row>
      <xdr:rowOff>346363</xdr:rowOff>
    </xdr:to>
    <xdr:sp macro="" textlink="">
      <xdr:nvSpPr>
        <xdr:cNvPr id="950" name="Isosceles Triangle 949">
          <a:extLst>
            <a:ext uri="{FF2B5EF4-FFF2-40B4-BE49-F238E27FC236}">
              <a16:creationId xmlns:a16="http://schemas.microsoft.com/office/drawing/2014/main" id="{82584E09-37EC-4A4C-865E-362C738E8EFC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951" name="Isosceles Triangle 950">
          <a:extLst>
            <a:ext uri="{FF2B5EF4-FFF2-40B4-BE49-F238E27FC236}">
              <a16:creationId xmlns:a16="http://schemas.microsoft.com/office/drawing/2014/main" id="{A2524EFB-5E2C-4A4D-B437-83E2CC90E0AE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952" name="Isosceles Triangle 951">
          <a:extLst>
            <a:ext uri="{FF2B5EF4-FFF2-40B4-BE49-F238E27FC236}">
              <a16:creationId xmlns:a16="http://schemas.microsoft.com/office/drawing/2014/main" id="{A65B8D83-3B93-4729-A09C-3A1E597AB322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953" name="Isosceles Triangle 952">
          <a:extLst>
            <a:ext uri="{FF2B5EF4-FFF2-40B4-BE49-F238E27FC236}">
              <a16:creationId xmlns:a16="http://schemas.microsoft.com/office/drawing/2014/main" id="{23053BD5-D57D-436B-938E-CD2361FECA4A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954" name="Isosceles Triangle 953">
          <a:extLst>
            <a:ext uri="{FF2B5EF4-FFF2-40B4-BE49-F238E27FC236}">
              <a16:creationId xmlns:a16="http://schemas.microsoft.com/office/drawing/2014/main" id="{EA0B6CB9-DCA9-4944-AB46-06DCF5744724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20</xdr:row>
      <xdr:rowOff>196272</xdr:rowOff>
    </xdr:from>
    <xdr:to>
      <xdr:col>8</xdr:col>
      <xdr:colOff>2320636</xdr:colOff>
      <xdr:row>20</xdr:row>
      <xdr:rowOff>346363</xdr:rowOff>
    </xdr:to>
    <xdr:sp macro="" textlink="">
      <xdr:nvSpPr>
        <xdr:cNvPr id="955" name="Isosceles Triangle 954">
          <a:extLst>
            <a:ext uri="{FF2B5EF4-FFF2-40B4-BE49-F238E27FC236}">
              <a16:creationId xmlns:a16="http://schemas.microsoft.com/office/drawing/2014/main" id="{A6E651CA-EF12-45A9-9785-E8138F173873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20</xdr:row>
      <xdr:rowOff>196272</xdr:rowOff>
    </xdr:from>
    <xdr:to>
      <xdr:col>8</xdr:col>
      <xdr:colOff>2320636</xdr:colOff>
      <xdr:row>20</xdr:row>
      <xdr:rowOff>346363</xdr:rowOff>
    </xdr:to>
    <xdr:sp macro="" textlink="">
      <xdr:nvSpPr>
        <xdr:cNvPr id="956" name="Isosceles Triangle 955">
          <a:extLst>
            <a:ext uri="{FF2B5EF4-FFF2-40B4-BE49-F238E27FC236}">
              <a16:creationId xmlns:a16="http://schemas.microsoft.com/office/drawing/2014/main" id="{7A0B6969-6711-433F-A6AF-DC279C71DEA6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20</xdr:row>
      <xdr:rowOff>196272</xdr:rowOff>
    </xdr:from>
    <xdr:to>
      <xdr:col>8</xdr:col>
      <xdr:colOff>2320636</xdr:colOff>
      <xdr:row>20</xdr:row>
      <xdr:rowOff>346363</xdr:rowOff>
    </xdr:to>
    <xdr:sp macro="" textlink="">
      <xdr:nvSpPr>
        <xdr:cNvPr id="957" name="Isosceles Triangle 956">
          <a:extLst>
            <a:ext uri="{FF2B5EF4-FFF2-40B4-BE49-F238E27FC236}">
              <a16:creationId xmlns:a16="http://schemas.microsoft.com/office/drawing/2014/main" id="{92ACAD6B-3983-4BC1-9984-AB9345CD3EDF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20</xdr:row>
      <xdr:rowOff>196272</xdr:rowOff>
    </xdr:from>
    <xdr:to>
      <xdr:col>8</xdr:col>
      <xdr:colOff>2320636</xdr:colOff>
      <xdr:row>20</xdr:row>
      <xdr:rowOff>346363</xdr:rowOff>
    </xdr:to>
    <xdr:sp macro="" textlink="">
      <xdr:nvSpPr>
        <xdr:cNvPr id="958" name="Isosceles Triangle 957">
          <a:extLst>
            <a:ext uri="{FF2B5EF4-FFF2-40B4-BE49-F238E27FC236}">
              <a16:creationId xmlns:a16="http://schemas.microsoft.com/office/drawing/2014/main" id="{A051DDC4-9E63-4157-8C80-C140064BFF56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959" name="Isosceles Triangle 958">
          <a:extLst>
            <a:ext uri="{FF2B5EF4-FFF2-40B4-BE49-F238E27FC236}">
              <a16:creationId xmlns:a16="http://schemas.microsoft.com/office/drawing/2014/main" id="{65B69D8F-79E3-4F29-93FD-F0959ADEBC93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960" name="Isosceles Triangle 959">
          <a:extLst>
            <a:ext uri="{FF2B5EF4-FFF2-40B4-BE49-F238E27FC236}">
              <a16:creationId xmlns:a16="http://schemas.microsoft.com/office/drawing/2014/main" id="{B9AB693F-B0A6-49F8-A3FE-A4B955DFDD71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961" name="Isosceles Triangle 960">
          <a:extLst>
            <a:ext uri="{FF2B5EF4-FFF2-40B4-BE49-F238E27FC236}">
              <a16:creationId xmlns:a16="http://schemas.microsoft.com/office/drawing/2014/main" id="{787B66D0-0504-4CE7-A9D0-02C0F4F3BD68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962" name="Isosceles Triangle 961">
          <a:extLst>
            <a:ext uri="{FF2B5EF4-FFF2-40B4-BE49-F238E27FC236}">
              <a16:creationId xmlns:a16="http://schemas.microsoft.com/office/drawing/2014/main" id="{2C100697-52C6-4858-B6E0-D0AEFFD3610C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20</xdr:row>
      <xdr:rowOff>196272</xdr:rowOff>
    </xdr:from>
    <xdr:to>
      <xdr:col>10</xdr:col>
      <xdr:colOff>2320636</xdr:colOff>
      <xdr:row>20</xdr:row>
      <xdr:rowOff>346363</xdr:rowOff>
    </xdr:to>
    <xdr:sp macro="" textlink="">
      <xdr:nvSpPr>
        <xdr:cNvPr id="963" name="Isosceles Triangle 962">
          <a:extLst>
            <a:ext uri="{FF2B5EF4-FFF2-40B4-BE49-F238E27FC236}">
              <a16:creationId xmlns:a16="http://schemas.microsoft.com/office/drawing/2014/main" id="{17E97790-08B8-4466-A60A-6EB2D0C4EB9E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20</xdr:row>
      <xdr:rowOff>196272</xdr:rowOff>
    </xdr:from>
    <xdr:to>
      <xdr:col>10</xdr:col>
      <xdr:colOff>2320636</xdr:colOff>
      <xdr:row>20</xdr:row>
      <xdr:rowOff>346363</xdr:rowOff>
    </xdr:to>
    <xdr:sp macro="" textlink="">
      <xdr:nvSpPr>
        <xdr:cNvPr id="964" name="Isosceles Triangle 963">
          <a:extLst>
            <a:ext uri="{FF2B5EF4-FFF2-40B4-BE49-F238E27FC236}">
              <a16:creationId xmlns:a16="http://schemas.microsoft.com/office/drawing/2014/main" id="{FF3F12B2-F831-4A60-B06F-A8CC4A7EF330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20</xdr:row>
      <xdr:rowOff>196272</xdr:rowOff>
    </xdr:from>
    <xdr:to>
      <xdr:col>10</xdr:col>
      <xdr:colOff>2320636</xdr:colOff>
      <xdr:row>20</xdr:row>
      <xdr:rowOff>346363</xdr:rowOff>
    </xdr:to>
    <xdr:sp macro="" textlink="">
      <xdr:nvSpPr>
        <xdr:cNvPr id="965" name="Isosceles Triangle 964">
          <a:extLst>
            <a:ext uri="{FF2B5EF4-FFF2-40B4-BE49-F238E27FC236}">
              <a16:creationId xmlns:a16="http://schemas.microsoft.com/office/drawing/2014/main" id="{1B5A6838-AD25-401D-A1E6-4043EB6A3BAD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20</xdr:row>
      <xdr:rowOff>196272</xdr:rowOff>
    </xdr:from>
    <xdr:to>
      <xdr:col>10</xdr:col>
      <xdr:colOff>2320636</xdr:colOff>
      <xdr:row>20</xdr:row>
      <xdr:rowOff>346363</xdr:rowOff>
    </xdr:to>
    <xdr:sp macro="" textlink="">
      <xdr:nvSpPr>
        <xdr:cNvPr id="966" name="Isosceles Triangle 965">
          <a:extLst>
            <a:ext uri="{FF2B5EF4-FFF2-40B4-BE49-F238E27FC236}">
              <a16:creationId xmlns:a16="http://schemas.microsoft.com/office/drawing/2014/main" id="{5F264B9C-F911-48EB-BFD4-B50BD0A3401E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967" name="Isosceles Triangle 966">
          <a:extLst>
            <a:ext uri="{FF2B5EF4-FFF2-40B4-BE49-F238E27FC236}">
              <a16:creationId xmlns:a16="http://schemas.microsoft.com/office/drawing/2014/main" id="{7E8AB1DE-C5A3-4510-9D34-49757301819E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968" name="Isosceles Triangle 967">
          <a:extLst>
            <a:ext uri="{FF2B5EF4-FFF2-40B4-BE49-F238E27FC236}">
              <a16:creationId xmlns:a16="http://schemas.microsoft.com/office/drawing/2014/main" id="{5EF1CBC2-93FD-416A-9739-10C4257222E3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969" name="Isosceles Triangle 968">
          <a:extLst>
            <a:ext uri="{FF2B5EF4-FFF2-40B4-BE49-F238E27FC236}">
              <a16:creationId xmlns:a16="http://schemas.microsoft.com/office/drawing/2014/main" id="{87993E18-9288-4929-A8DC-0877746270D0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970" name="Isosceles Triangle 969">
          <a:extLst>
            <a:ext uri="{FF2B5EF4-FFF2-40B4-BE49-F238E27FC236}">
              <a16:creationId xmlns:a16="http://schemas.microsoft.com/office/drawing/2014/main" id="{CFA8DB92-70C8-4D36-BAA9-CB14AABE5BB4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971" name="Isosceles Triangle 970">
          <a:extLst>
            <a:ext uri="{FF2B5EF4-FFF2-40B4-BE49-F238E27FC236}">
              <a16:creationId xmlns:a16="http://schemas.microsoft.com/office/drawing/2014/main" id="{99F4E158-6231-43E1-A5C8-0888C147C87E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972" name="Isosceles Triangle 971">
          <a:extLst>
            <a:ext uri="{FF2B5EF4-FFF2-40B4-BE49-F238E27FC236}">
              <a16:creationId xmlns:a16="http://schemas.microsoft.com/office/drawing/2014/main" id="{53A0AFDF-AC84-4902-A035-E3E40D8AA3F9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973" name="Isosceles Triangle 972">
          <a:extLst>
            <a:ext uri="{FF2B5EF4-FFF2-40B4-BE49-F238E27FC236}">
              <a16:creationId xmlns:a16="http://schemas.microsoft.com/office/drawing/2014/main" id="{98C8B8E6-89E5-4C1C-845E-68E63C7318E4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974" name="Isosceles Triangle 973">
          <a:extLst>
            <a:ext uri="{FF2B5EF4-FFF2-40B4-BE49-F238E27FC236}">
              <a16:creationId xmlns:a16="http://schemas.microsoft.com/office/drawing/2014/main" id="{C891FC0D-6AFE-4720-8CD8-49AD6BDCF870}"/>
            </a:ext>
          </a:extLst>
        </xdr:cNvPr>
        <xdr:cNvSpPr/>
      </xdr:nvSpPr>
      <xdr:spPr>
        <a:xfrm rot="10800000">
          <a:off x="140889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79</xdr:row>
      <xdr:rowOff>196272</xdr:rowOff>
    </xdr:from>
    <xdr:to>
      <xdr:col>10</xdr:col>
      <xdr:colOff>2320636</xdr:colOff>
      <xdr:row>79</xdr:row>
      <xdr:rowOff>346363</xdr:rowOff>
    </xdr:to>
    <xdr:sp macro="" textlink="">
      <xdr:nvSpPr>
        <xdr:cNvPr id="975" name="Isosceles Triangle 974">
          <a:extLst>
            <a:ext uri="{FF2B5EF4-FFF2-40B4-BE49-F238E27FC236}">
              <a16:creationId xmlns:a16="http://schemas.microsoft.com/office/drawing/2014/main" id="{C2193262-289B-46A2-8930-617A650D36A7}"/>
            </a:ext>
          </a:extLst>
        </xdr:cNvPr>
        <xdr:cNvSpPr/>
      </xdr:nvSpPr>
      <xdr:spPr>
        <a:xfrm rot="10800000">
          <a:off x="10621817" y="4470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79</xdr:row>
      <xdr:rowOff>196272</xdr:rowOff>
    </xdr:from>
    <xdr:to>
      <xdr:col>10</xdr:col>
      <xdr:colOff>2320636</xdr:colOff>
      <xdr:row>79</xdr:row>
      <xdr:rowOff>346363</xdr:rowOff>
    </xdr:to>
    <xdr:sp macro="" textlink="">
      <xdr:nvSpPr>
        <xdr:cNvPr id="976" name="Isosceles Triangle 975">
          <a:extLst>
            <a:ext uri="{FF2B5EF4-FFF2-40B4-BE49-F238E27FC236}">
              <a16:creationId xmlns:a16="http://schemas.microsoft.com/office/drawing/2014/main" id="{2175A884-40A6-4E72-9C36-246FC9C954F9}"/>
            </a:ext>
          </a:extLst>
        </xdr:cNvPr>
        <xdr:cNvSpPr/>
      </xdr:nvSpPr>
      <xdr:spPr>
        <a:xfrm rot="10800000">
          <a:off x="10621817" y="4470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79</xdr:row>
      <xdr:rowOff>196272</xdr:rowOff>
    </xdr:from>
    <xdr:to>
      <xdr:col>10</xdr:col>
      <xdr:colOff>2320636</xdr:colOff>
      <xdr:row>79</xdr:row>
      <xdr:rowOff>346363</xdr:rowOff>
    </xdr:to>
    <xdr:sp macro="" textlink="">
      <xdr:nvSpPr>
        <xdr:cNvPr id="977" name="Isosceles Triangle 976">
          <a:extLst>
            <a:ext uri="{FF2B5EF4-FFF2-40B4-BE49-F238E27FC236}">
              <a16:creationId xmlns:a16="http://schemas.microsoft.com/office/drawing/2014/main" id="{A231263A-4F4F-4555-9195-D45892F9CC18}"/>
            </a:ext>
          </a:extLst>
        </xdr:cNvPr>
        <xdr:cNvSpPr/>
      </xdr:nvSpPr>
      <xdr:spPr>
        <a:xfrm rot="10800000">
          <a:off x="10621817" y="4470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79</xdr:row>
      <xdr:rowOff>196272</xdr:rowOff>
    </xdr:from>
    <xdr:to>
      <xdr:col>10</xdr:col>
      <xdr:colOff>2320636</xdr:colOff>
      <xdr:row>79</xdr:row>
      <xdr:rowOff>346363</xdr:rowOff>
    </xdr:to>
    <xdr:sp macro="" textlink="">
      <xdr:nvSpPr>
        <xdr:cNvPr id="978" name="Isosceles Triangle 977">
          <a:extLst>
            <a:ext uri="{FF2B5EF4-FFF2-40B4-BE49-F238E27FC236}">
              <a16:creationId xmlns:a16="http://schemas.microsoft.com/office/drawing/2014/main" id="{822F7A17-A767-4960-9B35-E952138E881B}"/>
            </a:ext>
          </a:extLst>
        </xdr:cNvPr>
        <xdr:cNvSpPr/>
      </xdr:nvSpPr>
      <xdr:spPr>
        <a:xfrm rot="10800000">
          <a:off x="10621817" y="4470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81</xdr:row>
      <xdr:rowOff>196272</xdr:rowOff>
    </xdr:from>
    <xdr:to>
      <xdr:col>10</xdr:col>
      <xdr:colOff>2320636</xdr:colOff>
      <xdr:row>81</xdr:row>
      <xdr:rowOff>346363</xdr:rowOff>
    </xdr:to>
    <xdr:sp macro="" textlink="">
      <xdr:nvSpPr>
        <xdr:cNvPr id="979" name="Isosceles Triangle 978">
          <a:extLst>
            <a:ext uri="{FF2B5EF4-FFF2-40B4-BE49-F238E27FC236}">
              <a16:creationId xmlns:a16="http://schemas.microsoft.com/office/drawing/2014/main" id="{E2AE9991-A80F-408D-B098-CAA53451FA14}"/>
            </a:ext>
          </a:extLst>
        </xdr:cNvPr>
        <xdr:cNvSpPr/>
      </xdr:nvSpPr>
      <xdr:spPr>
        <a:xfrm rot="10800000">
          <a:off x="10621817" y="4470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81</xdr:row>
      <xdr:rowOff>196272</xdr:rowOff>
    </xdr:from>
    <xdr:to>
      <xdr:col>10</xdr:col>
      <xdr:colOff>2320636</xdr:colOff>
      <xdr:row>81</xdr:row>
      <xdr:rowOff>346363</xdr:rowOff>
    </xdr:to>
    <xdr:sp macro="" textlink="">
      <xdr:nvSpPr>
        <xdr:cNvPr id="980" name="Isosceles Triangle 979">
          <a:extLst>
            <a:ext uri="{FF2B5EF4-FFF2-40B4-BE49-F238E27FC236}">
              <a16:creationId xmlns:a16="http://schemas.microsoft.com/office/drawing/2014/main" id="{EEFA8EA6-F760-40B4-AB15-6ADF71D4C007}"/>
            </a:ext>
          </a:extLst>
        </xdr:cNvPr>
        <xdr:cNvSpPr/>
      </xdr:nvSpPr>
      <xdr:spPr>
        <a:xfrm rot="10800000">
          <a:off x="10621817" y="4470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81</xdr:row>
      <xdr:rowOff>196272</xdr:rowOff>
    </xdr:from>
    <xdr:to>
      <xdr:col>10</xdr:col>
      <xdr:colOff>2320636</xdr:colOff>
      <xdr:row>81</xdr:row>
      <xdr:rowOff>346363</xdr:rowOff>
    </xdr:to>
    <xdr:sp macro="" textlink="">
      <xdr:nvSpPr>
        <xdr:cNvPr id="981" name="Isosceles Triangle 980">
          <a:extLst>
            <a:ext uri="{FF2B5EF4-FFF2-40B4-BE49-F238E27FC236}">
              <a16:creationId xmlns:a16="http://schemas.microsoft.com/office/drawing/2014/main" id="{FC2FF1E3-D3FC-4424-B83E-45A75F693B40}"/>
            </a:ext>
          </a:extLst>
        </xdr:cNvPr>
        <xdr:cNvSpPr/>
      </xdr:nvSpPr>
      <xdr:spPr>
        <a:xfrm rot="10800000">
          <a:off x="10621817" y="4470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81</xdr:row>
      <xdr:rowOff>196272</xdr:rowOff>
    </xdr:from>
    <xdr:to>
      <xdr:col>10</xdr:col>
      <xdr:colOff>2320636</xdr:colOff>
      <xdr:row>81</xdr:row>
      <xdr:rowOff>346363</xdr:rowOff>
    </xdr:to>
    <xdr:sp macro="" textlink="">
      <xdr:nvSpPr>
        <xdr:cNvPr id="982" name="Isosceles Triangle 981">
          <a:extLst>
            <a:ext uri="{FF2B5EF4-FFF2-40B4-BE49-F238E27FC236}">
              <a16:creationId xmlns:a16="http://schemas.microsoft.com/office/drawing/2014/main" id="{124ACC92-E47A-45B8-9771-F2B7C61CCB76}"/>
            </a:ext>
          </a:extLst>
        </xdr:cNvPr>
        <xdr:cNvSpPr/>
      </xdr:nvSpPr>
      <xdr:spPr>
        <a:xfrm rot="10800000">
          <a:off x="10621817" y="4470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80</xdr:row>
      <xdr:rowOff>196272</xdr:rowOff>
    </xdr:from>
    <xdr:to>
      <xdr:col>10</xdr:col>
      <xdr:colOff>2320636</xdr:colOff>
      <xdr:row>80</xdr:row>
      <xdr:rowOff>346363</xdr:rowOff>
    </xdr:to>
    <xdr:sp macro="" textlink="">
      <xdr:nvSpPr>
        <xdr:cNvPr id="983" name="Isosceles Triangle 982">
          <a:extLst>
            <a:ext uri="{FF2B5EF4-FFF2-40B4-BE49-F238E27FC236}">
              <a16:creationId xmlns:a16="http://schemas.microsoft.com/office/drawing/2014/main" id="{02813238-3A2E-4E6A-BE58-6D42270C0D30}"/>
            </a:ext>
          </a:extLst>
        </xdr:cNvPr>
        <xdr:cNvSpPr/>
      </xdr:nvSpPr>
      <xdr:spPr>
        <a:xfrm rot="10800000">
          <a:off x="10621817" y="4413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80</xdr:row>
      <xdr:rowOff>196272</xdr:rowOff>
    </xdr:from>
    <xdr:to>
      <xdr:col>10</xdr:col>
      <xdr:colOff>2320636</xdr:colOff>
      <xdr:row>80</xdr:row>
      <xdr:rowOff>346363</xdr:rowOff>
    </xdr:to>
    <xdr:sp macro="" textlink="">
      <xdr:nvSpPr>
        <xdr:cNvPr id="984" name="Isosceles Triangle 983">
          <a:extLst>
            <a:ext uri="{FF2B5EF4-FFF2-40B4-BE49-F238E27FC236}">
              <a16:creationId xmlns:a16="http://schemas.microsoft.com/office/drawing/2014/main" id="{2EB45CE3-EB2D-462B-98D6-53C41044E4CC}"/>
            </a:ext>
          </a:extLst>
        </xdr:cNvPr>
        <xdr:cNvSpPr/>
      </xdr:nvSpPr>
      <xdr:spPr>
        <a:xfrm rot="10800000">
          <a:off x="10621817" y="4413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80</xdr:row>
      <xdr:rowOff>196272</xdr:rowOff>
    </xdr:from>
    <xdr:to>
      <xdr:col>10</xdr:col>
      <xdr:colOff>2320636</xdr:colOff>
      <xdr:row>80</xdr:row>
      <xdr:rowOff>346363</xdr:rowOff>
    </xdr:to>
    <xdr:sp macro="" textlink="">
      <xdr:nvSpPr>
        <xdr:cNvPr id="985" name="Isosceles Triangle 984">
          <a:extLst>
            <a:ext uri="{FF2B5EF4-FFF2-40B4-BE49-F238E27FC236}">
              <a16:creationId xmlns:a16="http://schemas.microsoft.com/office/drawing/2014/main" id="{8BC6C5A2-1988-412A-A9A9-CFA8A45E013D}"/>
            </a:ext>
          </a:extLst>
        </xdr:cNvPr>
        <xdr:cNvSpPr/>
      </xdr:nvSpPr>
      <xdr:spPr>
        <a:xfrm rot="10800000">
          <a:off x="10621817" y="4413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80</xdr:row>
      <xdr:rowOff>196272</xdr:rowOff>
    </xdr:from>
    <xdr:to>
      <xdr:col>10</xdr:col>
      <xdr:colOff>2320636</xdr:colOff>
      <xdr:row>80</xdr:row>
      <xdr:rowOff>346363</xdr:rowOff>
    </xdr:to>
    <xdr:sp macro="" textlink="">
      <xdr:nvSpPr>
        <xdr:cNvPr id="986" name="Isosceles Triangle 985">
          <a:extLst>
            <a:ext uri="{FF2B5EF4-FFF2-40B4-BE49-F238E27FC236}">
              <a16:creationId xmlns:a16="http://schemas.microsoft.com/office/drawing/2014/main" id="{DF02867B-745D-44CC-ABAA-563A0E0686A5}"/>
            </a:ext>
          </a:extLst>
        </xdr:cNvPr>
        <xdr:cNvSpPr/>
      </xdr:nvSpPr>
      <xdr:spPr>
        <a:xfrm rot="10800000">
          <a:off x="10621817" y="4413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82</xdr:row>
      <xdr:rowOff>196272</xdr:rowOff>
    </xdr:from>
    <xdr:to>
      <xdr:col>10</xdr:col>
      <xdr:colOff>2320636</xdr:colOff>
      <xdr:row>82</xdr:row>
      <xdr:rowOff>346363</xdr:rowOff>
    </xdr:to>
    <xdr:sp macro="" textlink="">
      <xdr:nvSpPr>
        <xdr:cNvPr id="987" name="Isosceles Triangle 986">
          <a:extLst>
            <a:ext uri="{FF2B5EF4-FFF2-40B4-BE49-F238E27FC236}">
              <a16:creationId xmlns:a16="http://schemas.microsoft.com/office/drawing/2014/main" id="{049A2DC5-5767-47BE-A7D0-690BC0CC539A}"/>
            </a:ext>
          </a:extLst>
        </xdr:cNvPr>
        <xdr:cNvSpPr/>
      </xdr:nvSpPr>
      <xdr:spPr>
        <a:xfrm rot="10800000">
          <a:off x="10621817" y="4413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82</xdr:row>
      <xdr:rowOff>196272</xdr:rowOff>
    </xdr:from>
    <xdr:to>
      <xdr:col>10</xdr:col>
      <xdr:colOff>2320636</xdr:colOff>
      <xdr:row>82</xdr:row>
      <xdr:rowOff>346363</xdr:rowOff>
    </xdr:to>
    <xdr:sp macro="" textlink="">
      <xdr:nvSpPr>
        <xdr:cNvPr id="988" name="Isosceles Triangle 987">
          <a:extLst>
            <a:ext uri="{FF2B5EF4-FFF2-40B4-BE49-F238E27FC236}">
              <a16:creationId xmlns:a16="http://schemas.microsoft.com/office/drawing/2014/main" id="{AD8551F0-7742-47AE-83EA-757D892E796F}"/>
            </a:ext>
          </a:extLst>
        </xdr:cNvPr>
        <xdr:cNvSpPr/>
      </xdr:nvSpPr>
      <xdr:spPr>
        <a:xfrm rot="10800000">
          <a:off x="10621817" y="4413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82</xdr:row>
      <xdr:rowOff>196272</xdr:rowOff>
    </xdr:from>
    <xdr:to>
      <xdr:col>10</xdr:col>
      <xdr:colOff>2320636</xdr:colOff>
      <xdr:row>82</xdr:row>
      <xdr:rowOff>346363</xdr:rowOff>
    </xdr:to>
    <xdr:sp macro="" textlink="">
      <xdr:nvSpPr>
        <xdr:cNvPr id="989" name="Isosceles Triangle 988">
          <a:extLst>
            <a:ext uri="{FF2B5EF4-FFF2-40B4-BE49-F238E27FC236}">
              <a16:creationId xmlns:a16="http://schemas.microsoft.com/office/drawing/2014/main" id="{9D333655-52AF-46B4-A5B6-FBC19B64BA42}"/>
            </a:ext>
          </a:extLst>
        </xdr:cNvPr>
        <xdr:cNvSpPr/>
      </xdr:nvSpPr>
      <xdr:spPr>
        <a:xfrm rot="10800000">
          <a:off x="10621817" y="4413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82</xdr:row>
      <xdr:rowOff>196272</xdr:rowOff>
    </xdr:from>
    <xdr:to>
      <xdr:col>10</xdr:col>
      <xdr:colOff>2320636</xdr:colOff>
      <xdr:row>82</xdr:row>
      <xdr:rowOff>346363</xdr:rowOff>
    </xdr:to>
    <xdr:sp macro="" textlink="">
      <xdr:nvSpPr>
        <xdr:cNvPr id="990" name="Isosceles Triangle 989">
          <a:extLst>
            <a:ext uri="{FF2B5EF4-FFF2-40B4-BE49-F238E27FC236}">
              <a16:creationId xmlns:a16="http://schemas.microsoft.com/office/drawing/2014/main" id="{27BF6263-87EC-4D7C-96C4-57B614D09994}"/>
            </a:ext>
          </a:extLst>
        </xdr:cNvPr>
        <xdr:cNvSpPr/>
      </xdr:nvSpPr>
      <xdr:spPr>
        <a:xfrm rot="10800000">
          <a:off x="10621817" y="4413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991" name="Isosceles Triangle 990">
          <a:extLst>
            <a:ext uri="{FF2B5EF4-FFF2-40B4-BE49-F238E27FC236}">
              <a16:creationId xmlns:a16="http://schemas.microsoft.com/office/drawing/2014/main" id="{C756D0A0-B120-437A-B08F-4051EF3E07B0}"/>
            </a:ext>
          </a:extLst>
        </xdr:cNvPr>
        <xdr:cNvSpPr/>
      </xdr:nvSpPr>
      <xdr:spPr>
        <a:xfrm rot="10800000">
          <a:off x="14088917" y="4070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992" name="Isosceles Triangle 991">
          <a:extLst>
            <a:ext uri="{FF2B5EF4-FFF2-40B4-BE49-F238E27FC236}">
              <a16:creationId xmlns:a16="http://schemas.microsoft.com/office/drawing/2014/main" id="{18D305E2-F3BF-4A48-9539-DCE579CD75B1}"/>
            </a:ext>
          </a:extLst>
        </xdr:cNvPr>
        <xdr:cNvSpPr/>
      </xdr:nvSpPr>
      <xdr:spPr>
        <a:xfrm rot="10800000">
          <a:off x="14088917" y="4070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993" name="Isosceles Triangle 992">
          <a:extLst>
            <a:ext uri="{FF2B5EF4-FFF2-40B4-BE49-F238E27FC236}">
              <a16:creationId xmlns:a16="http://schemas.microsoft.com/office/drawing/2014/main" id="{1D23A93D-AD63-4840-8AB2-FB22A4E972C3}"/>
            </a:ext>
          </a:extLst>
        </xdr:cNvPr>
        <xdr:cNvSpPr/>
      </xdr:nvSpPr>
      <xdr:spPr>
        <a:xfrm rot="10800000">
          <a:off x="14088917" y="4070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994" name="Isosceles Triangle 993">
          <a:extLst>
            <a:ext uri="{FF2B5EF4-FFF2-40B4-BE49-F238E27FC236}">
              <a16:creationId xmlns:a16="http://schemas.microsoft.com/office/drawing/2014/main" id="{D75A60E0-60F8-4B6F-B7CB-CDB56C5BD55B}"/>
            </a:ext>
          </a:extLst>
        </xdr:cNvPr>
        <xdr:cNvSpPr/>
      </xdr:nvSpPr>
      <xdr:spPr>
        <a:xfrm rot="10800000">
          <a:off x="14088917" y="4070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75</xdr:row>
      <xdr:rowOff>196272</xdr:rowOff>
    </xdr:from>
    <xdr:to>
      <xdr:col>10</xdr:col>
      <xdr:colOff>2320636</xdr:colOff>
      <xdr:row>75</xdr:row>
      <xdr:rowOff>346363</xdr:rowOff>
    </xdr:to>
    <xdr:sp macro="" textlink="">
      <xdr:nvSpPr>
        <xdr:cNvPr id="995" name="Isosceles Triangle 994">
          <a:extLst>
            <a:ext uri="{FF2B5EF4-FFF2-40B4-BE49-F238E27FC236}">
              <a16:creationId xmlns:a16="http://schemas.microsoft.com/office/drawing/2014/main" id="{B2D69DD7-C34B-4504-955A-21DC55439275}"/>
            </a:ext>
          </a:extLst>
        </xdr:cNvPr>
        <xdr:cNvSpPr/>
      </xdr:nvSpPr>
      <xdr:spPr>
        <a:xfrm rot="10800000">
          <a:off x="14088917" y="4070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75</xdr:row>
      <xdr:rowOff>196272</xdr:rowOff>
    </xdr:from>
    <xdr:to>
      <xdr:col>10</xdr:col>
      <xdr:colOff>2320636</xdr:colOff>
      <xdr:row>75</xdr:row>
      <xdr:rowOff>346363</xdr:rowOff>
    </xdr:to>
    <xdr:sp macro="" textlink="">
      <xdr:nvSpPr>
        <xdr:cNvPr id="996" name="Isosceles Triangle 995">
          <a:extLst>
            <a:ext uri="{FF2B5EF4-FFF2-40B4-BE49-F238E27FC236}">
              <a16:creationId xmlns:a16="http://schemas.microsoft.com/office/drawing/2014/main" id="{3B0F3EA0-BCE0-442C-B701-9258F73D46C3}"/>
            </a:ext>
          </a:extLst>
        </xdr:cNvPr>
        <xdr:cNvSpPr/>
      </xdr:nvSpPr>
      <xdr:spPr>
        <a:xfrm rot="10800000">
          <a:off x="14088917" y="4070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55</xdr:row>
      <xdr:rowOff>196272</xdr:rowOff>
    </xdr:from>
    <xdr:to>
      <xdr:col>10</xdr:col>
      <xdr:colOff>2320636</xdr:colOff>
      <xdr:row>55</xdr:row>
      <xdr:rowOff>346363</xdr:rowOff>
    </xdr:to>
    <xdr:sp macro="" textlink="">
      <xdr:nvSpPr>
        <xdr:cNvPr id="999" name="Isosceles Triangle 998">
          <a:extLst>
            <a:ext uri="{FF2B5EF4-FFF2-40B4-BE49-F238E27FC236}">
              <a16:creationId xmlns:a16="http://schemas.microsoft.com/office/drawing/2014/main" id="{4816545E-1E59-4C26-B1B4-33B91B65B513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57</xdr:row>
      <xdr:rowOff>196272</xdr:rowOff>
    </xdr:from>
    <xdr:to>
      <xdr:col>10</xdr:col>
      <xdr:colOff>2320636</xdr:colOff>
      <xdr:row>57</xdr:row>
      <xdr:rowOff>346363</xdr:rowOff>
    </xdr:to>
    <xdr:sp macro="" textlink="">
      <xdr:nvSpPr>
        <xdr:cNvPr id="1000" name="Isosceles Triangle 999">
          <a:extLst>
            <a:ext uri="{FF2B5EF4-FFF2-40B4-BE49-F238E27FC236}">
              <a16:creationId xmlns:a16="http://schemas.microsoft.com/office/drawing/2014/main" id="{CEB4B07D-DDF8-45F9-9020-95F8DCF12248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57</xdr:row>
      <xdr:rowOff>196272</xdr:rowOff>
    </xdr:from>
    <xdr:to>
      <xdr:col>10</xdr:col>
      <xdr:colOff>2320636</xdr:colOff>
      <xdr:row>57</xdr:row>
      <xdr:rowOff>346363</xdr:rowOff>
    </xdr:to>
    <xdr:sp macro="" textlink="">
      <xdr:nvSpPr>
        <xdr:cNvPr id="1001" name="Isosceles Triangle 1000">
          <a:extLst>
            <a:ext uri="{FF2B5EF4-FFF2-40B4-BE49-F238E27FC236}">
              <a16:creationId xmlns:a16="http://schemas.microsoft.com/office/drawing/2014/main" id="{3CF55E7B-84A1-4B71-9F94-A3908B0DBED0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70</xdr:row>
      <xdr:rowOff>196272</xdr:rowOff>
    </xdr:from>
    <xdr:to>
      <xdr:col>10</xdr:col>
      <xdr:colOff>2320636</xdr:colOff>
      <xdr:row>70</xdr:row>
      <xdr:rowOff>346363</xdr:rowOff>
    </xdr:to>
    <xdr:sp macro="" textlink="">
      <xdr:nvSpPr>
        <xdr:cNvPr id="1002" name="Isosceles Triangle 1001">
          <a:extLst>
            <a:ext uri="{FF2B5EF4-FFF2-40B4-BE49-F238E27FC236}">
              <a16:creationId xmlns:a16="http://schemas.microsoft.com/office/drawing/2014/main" id="{25EE72B9-59BC-4D1D-8DC8-ED0DCCB0B671}"/>
            </a:ext>
          </a:extLst>
        </xdr:cNvPr>
        <xdr:cNvSpPr/>
      </xdr:nvSpPr>
      <xdr:spPr>
        <a:xfrm rot="10800000">
          <a:off x="14088917" y="3842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70</xdr:row>
      <xdr:rowOff>196272</xdr:rowOff>
    </xdr:from>
    <xdr:to>
      <xdr:col>10</xdr:col>
      <xdr:colOff>2320636</xdr:colOff>
      <xdr:row>70</xdr:row>
      <xdr:rowOff>346363</xdr:rowOff>
    </xdr:to>
    <xdr:sp macro="" textlink="">
      <xdr:nvSpPr>
        <xdr:cNvPr id="1003" name="Isosceles Triangle 1002">
          <a:extLst>
            <a:ext uri="{FF2B5EF4-FFF2-40B4-BE49-F238E27FC236}">
              <a16:creationId xmlns:a16="http://schemas.microsoft.com/office/drawing/2014/main" id="{B95FF1E1-5AF1-4DAD-9061-095C4684A045}"/>
            </a:ext>
          </a:extLst>
        </xdr:cNvPr>
        <xdr:cNvSpPr/>
      </xdr:nvSpPr>
      <xdr:spPr>
        <a:xfrm rot="10800000">
          <a:off x="14088917" y="3842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70</xdr:row>
      <xdr:rowOff>196272</xdr:rowOff>
    </xdr:from>
    <xdr:to>
      <xdr:col>10</xdr:col>
      <xdr:colOff>2320636</xdr:colOff>
      <xdr:row>70</xdr:row>
      <xdr:rowOff>346363</xdr:rowOff>
    </xdr:to>
    <xdr:sp macro="" textlink="">
      <xdr:nvSpPr>
        <xdr:cNvPr id="1004" name="Isosceles Triangle 1003">
          <a:extLst>
            <a:ext uri="{FF2B5EF4-FFF2-40B4-BE49-F238E27FC236}">
              <a16:creationId xmlns:a16="http://schemas.microsoft.com/office/drawing/2014/main" id="{6502FCBA-F932-43F3-8008-A1CF30D06AAE}"/>
            </a:ext>
          </a:extLst>
        </xdr:cNvPr>
        <xdr:cNvSpPr/>
      </xdr:nvSpPr>
      <xdr:spPr>
        <a:xfrm rot="10800000">
          <a:off x="14088917" y="3842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70</xdr:row>
      <xdr:rowOff>196272</xdr:rowOff>
    </xdr:from>
    <xdr:to>
      <xdr:col>10</xdr:col>
      <xdr:colOff>2320636</xdr:colOff>
      <xdr:row>70</xdr:row>
      <xdr:rowOff>346363</xdr:rowOff>
    </xdr:to>
    <xdr:sp macro="" textlink="">
      <xdr:nvSpPr>
        <xdr:cNvPr id="1005" name="Isosceles Triangle 1004">
          <a:extLst>
            <a:ext uri="{FF2B5EF4-FFF2-40B4-BE49-F238E27FC236}">
              <a16:creationId xmlns:a16="http://schemas.microsoft.com/office/drawing/2014/main" id="{A5D85608-29E3-4D55-AED2-B38007FC5A82}"/>
            </a:ext>
          </a:extLst>
        </xdr:cNvPr>
        <xdr:cNvSpPr/>
      </xdr:nvSpPr>
      <xdr:spPr>
        <a:xfrm rot="10800000">
          <a:off x="14088917" y="3842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1006" name="Isosceles Triangle 1005">
          <a:extLst>
            <a:ext uri="{FF2B5EF4-FFF2-40B4-BE49-F238E27FC236}">
              <a16:creationId xmlns:a16="http://schemas.microsoft.com/office/drawing/2014/main" id="{CF71727B-CB77-4BC7-A3D7-DC6FB36F13D4}"/>
            </a:ext>
          </a:extLst>
        </xdr:cNvPr>
        <xdr:cNvSpPr/>
      </xdr:nvSpPr>
      <xdr:spPr>
        <a:xfrm rot="10800000">
          <a:off x="140889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1007" name="Isosceles Triangle 1006">
          <a:extLst>
            <a:ext uri="{FF2B5EF4-FFF2-40B4-BE49-F238E27FC236}">
              <a16:creationId xmlns:a16="http://schemas.microsoft.com/office/drawing/2014/main" id="{685BD493-C0C1-47B9-B526-1B1155F543F4}"/>
            </a:ext>
          </a:extLst>
        </xdr:cNvPr>
        <xdr:cNvSpPr/>
      </xdr:nvSpPr>
      <xdr:spPr>
        <a:xfrm rot="10800000">
          <a:off x="140889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905" name="Isosceles Triangle 904">
          <a:extLst>
            <a:ext uri="{FF2B5EF4-FFF2-40B4-BE49-F238E27FC236}">
              <a16:creationId xmlns:a16="http://schemas.microsoft.com/office/drawing/2014/main" id="{6744E2BA-DFC1-4300-B526-BF277C5D1523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906" name="Isosceles Triangle 905">
          <a:extLst>
            <a:ext uri="{FF2B5EF4-FFF2-40B4-BE49-F238E27FC236}">
              <a16:creationId xmlns:a16="http://schemas.microsoft.com/office/drawing/2014/main" id="{1D73E9BF-935B-4DA0-9978-9A043DC1D199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907" name="Isosceles Triangle 906">
          <a:extLst>
            <a:ext uri="{FF2B5EF4-FFF2-40B4-BE49-F238E27FC236}">
              <a16:creationId xmlns:a16="http://schemas.microsoft.com/office/drawing/2014/main" id="{02D75CBA-852E-4A6E-B5B7-790BC7AEDA63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908" name="Isosceles Triangle 907">
          <a:extLst>
            <a:ext uri="{FF2B5EF4-FFF2-40B4-BE49-F238E27FC236}">
              <a16:creationId xmlns:a16="http://schemas.microsoft.com/office/drawing/2014/main" id="{17BAD18C-B8E4-48A1-8406-EB06F1871BA9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909" name="Isosceles Triangle 908">
          <a:extLst>
            <a:ext uri="{FF2B5EF4-FFF2-40B4-BE49-F238E27FC236}">
              <a16:creationId xmlns:a16="http://schemas.microsoft.com/office/drawing/2014/main" id="{9D29B966-85FB-4BC4-9CFB-3E0B473332B6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910" name="Isosceles Triangle 909">
          <a:extLst>
            <a:ext uri="{FF2B5EF4-FFF2-40B4-BE49-F238E27FC236}">
              <a16:creationId xmlns:a16="http://schemas.microsoft.com/office/drawing/2014/main" id="{14F64561-5B11-4589-9D38-20B2A0208DC4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911" name="Isosceles Triangle 910">
          <a:extLst>
            <a:ext uri="{FF2B5EF4-FFF2-40B4-BE49-F238E27FC236}">
              <a16:creationId xmlns:a16="http://schemas.microsoft.com/office/drawing/2014/main" id="{78EC67C9-EAE4-452A-BA26-84E26FF4C79E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912" name="Isosceles Triangle 911">
          <a:extLst>
            <a:ext uri="{FF2B5EF4-FFF2-40B4-BE49-F238E27FC236}">
              <a16:creationId xmlns:a16="http://schemas.microsoft.com/office/drawing/2014/main" id="{114024FD-AEDA-4B54-A517-E89F381427C6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913" name="Isosceles Triangle 912">
          <a:extLst>
            <a:ext uri="{FF2B5EF4-FFF2-40B4-BE49-F238E27FC236}">
              <a16:creationId xmlns:a16="http://schemas.microsoft.com/office/drawing/2014/main" id="{D891D6B4-814D-42B0-AD9D-3AB58816462B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914" name="Isosceles Triangle 913">
          <a:extLst>
            <a:ext uri="{FF2B5EF4-FFF2-40B4-BE49-F238E27FC236}">
              <a16:creationId xmlns:a16="http://schemas.microsoft.com/office/drawing/2014/main" id="{AC0B4E61-AF84-46B0-8B7C-CCC1A45B0EBF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915" name="Isosceles Triangle 914">
          <a:extLst>
            <a:ext uri="{FF2B5EF4-FFF2-40B4-BE49-F238E27FC236}">
              <a16:creationId xmlns:a16="http://schemas.microsoft.com/office/drawing/2014/main" id="{67E7C6EC-A358-45E2-913E-46836903D84D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916" name="Isosceles Triangle 915">
          <a:extLst>
            <a:ext uri="{FF2B5EF4-FFF2-40B4-BE49-F238E27FC236}">
              <a16:creationId xmlns:a16="http://schemas.microsoft.com/office/drawing/2014/main" id="{1EEC4836-A9B8-4CC4-A797-E19554CF138A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917" name="Isosceles Triangle 916">
          <a:extLst>
            <a:ext uri="{FF2B5EF4-FFF2-40B4-BE49-F238E27FC236}">
              <a16:creationId xmlns:a16="http://schemas.microsoft.com/office/drawing/2014/main" id="{21888B49-2ECA-4601-B168-80BA26808231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918" name="Isosceles Triangle 917">
          <a:extLst>
            <a:ext uri="{FF2B5EF4-FFF2-40B4-BE49-F238E27FC236}">
              <a16:creationId xmlns:a16="http://schemas.microsoft.com/office/drawing/2014/main" id="{394CFD85-264F-4FAD-AD32-3EFB94ADA99C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919" name="Isosceles Triangle 918">
          <a:extLst>
            <a:ext uri="{FF2B5EF4-FFF2-40B4-BE49-F238E27FC236}">
              <a16:creationId xmlns:a16="http://schemas.microsoft.com/office/drawing/2014/main" id="{DD7DF993-8291-49D8-84B5-99528309F111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136</xdr:row>
      <xdr:rowOff>196272</xdr:rowOff>
    </xdr:from>
    <xdr:to>
      <xdr:col>8</xdr:col>
      <xdr:colOff>2320636</xdr:colOff>
      <xdr:row>136</xdr:row>
      <xdr:rowOff>346363</xdr:rowOff>
    </xdr:to>
    <xdr:sp macro="" textlink="">
      <xdr:nvSpPr>
        <xdr:cNvPr id="920" name="Isosceles Triangle 919">
          <a:extLst>
            <a:ext uri="{FF2B5EF4-FFF2-40B4-BE49-F238E27FC236}">
              <a16:creationId xmlns:a16="http://schemas.microsoft.com/office/drawing/2014/main" id="{432259C4-7E52-47B8-A6D8-E06D9B378DBF}"/>
            </a:ext>
          </a:extLst>
        </xdr:cNvPr>
        <xdr:cNvSpPr/>
      </xdr:nvSpPr>
      <xdr:spPr>
        <a:xfrm rot="10800000">
          <a:off x="10621817" y="7728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136</xdr:row>
      <xdr:rowOff>196272</xdr:rowOff>
    </xdr:from>
    <xdr:to>
      <xdr:col>10</xdr:col>
      <xdr:colOff>2320636</xdr:colOff>
      <xdr:row>136</xdr:row>
      <xdr:rowOff>346363</xdr:rowOff>
    </xdr:to>
    <xdr:sp macro="" textlink="">
      <xdr:nvSpPr>
        <xdr:cNvPr id="921" name="Isosceles Triangle 920">
          <a:extLst>
            <a:ext uri="{FF2B5EF4-FFF2-40B4-BE49-F238E27FC236}">
              <a16:creationId xmlns:a16="http://schemas.microsoft.com/office/drawing/2014/main" id="{98902A07-587F-4549-B520-9EFECA825460}"/>
            </a:ext>
          </a:extLst>
        </xdr:cNvPr>
        <xdr:cNvSpPr/>
      </xdr:nvSpPr>
      <xdr:spPr>
        <a:xfrm rot="10800000">
          <a:off x="10621817" y="7728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52</xdr:row>
      <xdr:rowOff>196272</xdr:rowOff>
    </xdr:from>
    <xdr:to>
      <xdr:col>8</xdr:col>
      <xdr:colOff>2320636</xdr:colOff>
      <xdr:row>52</xdr:row>
      <xdr:rowOff>346363</xdr:rowOff>
    </xdr:to>
    <xdr:sp macro="" textlink="">
      <xdr:nvSpPr>
        <xdr:cNvPr id="922" name="Isosceles Triangle 921">
          <a:extLst>
            <a:ext uri="{FF2B5EF4-FFF2-40B4-BE49-F238E27FC236}">
              <a16:creationId xmlns:a16="http://schemas.microsoft.com/office/drawing/2014/main" id="{9FCC828D-4EF9-4B86-98C5-0C4691E6ADC1}"/>
            </a:ext>
          </a:extLst>
        </xdr:cNvPr>
        <xdr:cNvSpPr/>
      </xdr:nvSpPr>
      <xdr:spPr>
        <a:xfrm rot="10800000">
          <a:off x="10621817" y="7728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52</xdr:row>
      <xdr:rowOff>196272</xdr:rowOff>
    </xdr:from>
    <xdr:to>
      <xdr:col>10</xdr:col>
      <xdr:colOff>2320636</xdr:colOff>
      <xdr:row>52</xdr:row>
      <xdr:rowOff>346363</xdr:rowOff>
    </xdr:to>
    <xdr:sp macro="" textlink="">
      <xdr:nvSpPr>
        <xdr:cNvPr id="923" name="Isosceles Triangle 922">
          <a:extLst>
            <a:ext uri="{FF2B5EF4-FFF2-40B4-BE49-F238E27FC236}">
              <a16:creationId xmlns:a16="http://schemas.microsoft.com/office/drawing/2014/main" id="{2121D962-F300-4AC8-9D14-FAECCCD2EF2E}"/>
            </a:ext>
          </a:extLst>
        </xdr:cNvPr>
        <xdr:cNvSpPr/>
      </xdr:nvSpPr>
      <xdr:spPr>
        <a:xfrm rot="10800000">
          <a:off x="10621817" y="7728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46</xdr:row>
      <xdr:rowOff>196272</xdr:rowOff>
    </xdr:from>
    <xdr:to>
      <xdr:col>8</xdr:col>
      <xdr:colOff>2320636</xdr:colOff>
      <xdr:row>46</xdr:row>
      <xdr:rowOff>346363</xdr:rowOff>
    </xdr:to>
    <xdr:sp macro="" textlink="">
      <xdr:nvSpPr>
        <xdr:cNvPr id="924" name="Isosceles Triangle 923">
          <a:extLst>
            <a:ext uri="{FF2B5EF4-FFF2-40B4-BE49-F238E27FC236}">
              <a16:creationId xmlns:a16="http://schemas.microsoft.com/office/drawing/2014/main" id="{C35CA617-925F-4C98-8AA7-784C890BF236}"/>
            </a:ext>
          </a:extLst>
        </xdr:cNvPr>
        <xdr:cNvSpPr/>
      </xdr:nvSpPr>
      <xdr:spPr>
        <a:xfrm rot="10800000">
          <a:off x="10621817" y="7728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46</xdr:row>
      <xdr:rowOff>196272</xdr:rowOff>
    </xdr:from>
    <xdr:to>
      <xdr:col>10</xdr:col>
      <xdr:colOff>2320636</xdr:colOff>
      <xdr:row>46</xdr:row>
      <xdr:rowOff>346363</xdr:rowOff>
    </xdr:to>
    <xdr:sp macro="" textlink="">
      <xdr:nvSpPr>
        <xdr:cNvPr id="925" name="Isosceles Triangle 924">
          <a:extLst>
            <a:ext uri="{FF2B5EF4-FFF2-40B4-BE49-F238E27FC236}">
              <a16:creationId xmlns:a16="http://schemas.microsoft.com/office/drawing/2014/main" id="{EEB2D4F6-9BA4-4C95-B4CE-3B36C791ED87}"/>
            </a:ext>
          </a:extLst>
        </xdr:cNvPr>
        <xdr:cNvSpPr/>
      </xdr:nvSpPr>
      <xdr:spPr>
        <a:xfrm rot="10800000">
          <a:off x="10621817" y="7728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70</xdr:row>
      <xdr:rowOff>196272</xdr:rowOff>
    </xdr:from>
    <xdr:to>
      <xdr:col>8</xdr:col>
      <xdr:colOff>2320636</xdr:colOff>
      <xdr:row>70</xdr:row>
      <xdr:rowOff>346363</xdr:rowOff>
    </xdr:to>
    <xdr:sp macro="" textlink="">
      <xdr:nvSpPr>
        <xdr:cNvPr id="926" name="Isosceles Triangle 925">
          <a:extLst>
            <a:ext uri="{FF2B5EF4-FFF2-40B4-BE49-F238E27FC236}">
              <a16:creationId xmlns:a16="http://schemas.microsoft.com/office/drawing/2014/main" id="{D62D742E-AEA9-4188-A6CB-2E7D6B87753C}"/>
            </a:ext>
          </a:extLst>
        </xdr:cNvPr>
        <xdr:cNvSpPr/>
      </xdr:nvSpPr>
      <xdr:spPr>
        <a:xfrm rot="10800000">
          <a:off x="10621817" y="7728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70</xdr:row>
      <xdr:rowOff>196272</xdr:rowOff>
    </xdr:from>
    <xdr:to>
      <xdr:col>10</xdr:col>
      <xdr:colOff>2320636</xdr:colOff>
      <xdr:row>70</xdr:row>
      <xdr:rowOff>346363</xdr:rowOff>
    </xdr:to>
    <xdr:sp macro="" textlink="">
      <xdr:nvSpPr>
        <xdr:cNvPr id="927" name="Isosceles Triangle 926">
          <a:extLst>
            <a:ext uri="{FF2B5EF4-FFF2-40B4-BE49-F238E27FC236}">
              <a16:creationId xmlns:a16="http://schemas.microsoft.com/office/drawing/2014/main" id="{F6332D24-5E02-4D5C-B893-21F71D33C1FA}"/>
            </a:ext>
          </a:extLst>
        </xdr:cNvPr>
        <xdr:cNvSpPr/>
      </xdr:nvSpPr>
      <xdr:spPr>
        <a:xfrm rot="10800000">
          <a:off x="10621817" y="7728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928" name="Isosceles Triangle 927">
          <a:extLst>
            <a:ext uri="{FF2B5EF4-FFF2-40B4-BE49-F238E27FC236}">
              <a16:creationId xmlns:a16="http://schemas.microsoft.com/office/drawing/2014/main" id="{997DE831-3DF2-469E-B34E-8EBF6C48E1E7}"/>
            </a:ext>
          </a:extLst>
        </xdr:cNvPr>
        <xdr:cNvSpPr/>
      </xdr:nvSpPr>
      <xdr:spPr>
        <a:xfrm rot="10800000">
          <a:off x="14088917" y="7557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929" name="Isosceles Triangle 928">
          <a:extLst>
            <a:ext uri="{FF2B5EF4-FFF2-40B4-BE49-F238E27FC236}">
              <a16:creationId xmlns:a16="http://schemas.microsoft.com/office/drawing/2014/main" id="{24B62E0D-0F23-45C9-9D53-73F1221CE988}"/>
            </a:ext>
          </a:extLst>
        </xdr:cNvPr>
        <xdr:cNvSpPr/>
      </xdr:nvSpPr>
      <xdr:spPr>
        <a:xfrm rot="10800000">
          <a:off x="14088917" y="7557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133</xdr:row>
      <xdr:rowOff>196272</xdr:rowOff>
    </xdr:from>
    <xdr:to>
      <xdr:col>10</xdr:col>
      <xdr:colOff>2320636</xdr:colOff>
      <xdr:row>133</xdr:row>
      <xdr:rowOff>346363</xdr:rowOff>
    </xdr:to>
    <xdr:sp macro="" textlink="">
      <xdr:nvSpPr>
        <xdr:cNvPr id="930" name="Isosceles Triangle 929">
          <a:extLst>
            <a:ext uri="{FF2B5EF4-FFF2-40B4-BE49-F238E27FC236}">
              <a16:creationId xmlns:a16="http://schemas.microsoft.com/office/drawing/2014/main" id="{D0E1404B-ACEC-4355-B31C-0351FC8397DF}"/>
            </a:ext>
          </a:extLst>
        </xdr:cNvPr>
        <xdr:cNvSpPr/>
      </xdr:nvSpPr>
      <xdr:spPr>
        <a:xfrm rot="10800000">
          <a:off x="14088917" y="7557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133</xdr:row>
      <xdr:rowOff>196272</xdr:rowOff>
    </xdr:from>
    <xdr:to>
      <xdr:col>10</xdr:col>
      <xdr:colOff>2320636</xdr:colOff>
      <xdr:row>133</xdr:row>
      <xdr:rowOff>346363</xdr:rowOff>
    </xdr:to>
    <xdr:sp macro="" textlink="">
      <xdr:nvSpPr>
        <xdr:cNvPr id="997" name="Isosceles Triangle 996">
          <a:extLst>
            <a:ext uri="{FF2B5EF4-FFF2-40B4-BE49-F238E27FC236}">
              <a16:creationId xmlns:a16="http://schemas.microsoft.com/office/drawing/2014/main" id="{4FEDD20A-4147-4F32-A283-EB62742260DB}"/>
            </a:ext>
          </a:extLst>
        </xdr:cNvPr>
        <xdr:cNvSpPr/>
      </xdr:nvSpPr>
      <xdr:spPr>
        <a:xfrm rot="10800000">
          <a:off x="14088917" y="7557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998" name="Isosceles Triangle 997">
          <a:extLst>
            <a:ext uri="{FF2B5EF4-FFF2-40B4-BE49-F238E27FC236}">
              <a16:creationId xmlns:a16="http://schemas.microsoft.com/office/drawing/2014/main" id="{540F3565-DA6B-48A5-A9C5-B820CFBC767D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1008" name="Isosceles Triangle 1007">
          <a:extLst>
            <a:ext uri="{FF2B5EF4-FFF2-40B4-BE49-F238E27FC236}">
              <a16:creationId xmlns:a16="http://schemas.microsoft.com/office/drawing/2014/main" id="{7B5019A3-19A0-407E-B7B7-87C9AC484305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1009" name="Isosceles Triangle 1008">
          <a:extLst>
            <a:ext uri="{FF2B5EF4-FFF2-40B4-BE49-F238E27FC236}">
              <a16:creationId xmlns:a16="http://schemas.microsoft.com/office/drawing/2014/main" id="{FBB19263-1288-4C1B-82FE-C58A9648E228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1010" name="Isosceles Triangle 1009">
          <a:extLst>
            <a:ext uri="{FF2B5EF4-FFF2-40B4-BE49-F238E27FC236}">
              <a16:creationId xmlns:a16="http://schemas.microsoft.com/office/drawing/2014/main" id="{5D316A80-8D91-4981-B9DC-DFD03A2A01E0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1011" name="Isosceles Triangle 1010">
          <a:extLst>
            <a:ext uri="{FF2B5EF4-FFF2-40B4-BE49-F238E27FC236}">
              <a16:creationId xmlns:a16="http://schemas.microsoft.com/office/drawing/2014/main" id="{38474016-DE63-43B9-9AFE-8C08AE4C59FB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1012" name="Isosceles Triangle 1011">
          <a:extLst>
            <a:ext uri="{FF2B5EF4-FFF2-40B4-BE49-F238E27FC236}">
              <a16:creationId xmlns:a16="http://schemas.microsoft.com/office/drawing/2014/main" id="{1B7A67BC-EC48-436F-B726-A44D43871CD5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1013" name="Isosceles Triangle 1012">
          <a:extLst>
            <a:ext uri="{FF2B5EF4-FFF2-40B4-BE49-F238E27FC236}">
              <a16:creationId xmlns:a16="http://schemas.microsoft.com/office/drawing/2014/main" id="{DBD5658C-76A9-434B-BB42-526DEB4370DC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1014" name="Isosceles Triangle 1013">
          <a:extLst>
            <a:ext uri="{FF2B5EF4-FFF2-40B4-BE49-F238E27FC236}">
              <a16:creationId xmlns:a16="http://schemas.microsoft.com/office/drawing/2014/main" id="{B7CDA55C-9BC8-45C9-B20A-1DA195094E1B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1015" name="Isosceles Triangle 1014">
          <a:extLst>
            <a:ext uri="{FF2B5EF4-FFF2-40B4-BE49-F238E27FC236}">
              <a16:creationId xmlns:a16="http://schemas.microsoft.com/office/drawing/2014/main" id="{2CD66287-7339-44D2-848F-A0D6BFF1993B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1016" name="Isosceles Triangle 1015">
          <a:extLst>
            <a:ext uri="{FF2B5EF4-FFF2-40B4-BE49-F238E27FC236}">
              <a16:creationId xmlns:a16="http://schemas.microsoft.com/office/drawing/2014/main" id="{192047A7-6EC9-4BD8-817B-E56941D5CF9F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017" name="Isosceles Triangle 1016">
          <a:extLst>
            <a:ext uri="{FF2B5EF4-FFF2-40B4-BE49-F238E27FC236}">
              <a16:creationId xmlns:a16="http://schemas.microsoft.com/office/drawing/2014/main" id="{1BA418AD-FC4A-4A9A-A332-E34ED03DA7AE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018" name="Isosceles Triangle 1017">
          <a:extLst>
            <a:ext uri="{FF2B5EF4-FFF2-40B4-BE49-F238E27FC236}">
              <a16:creationId xmlns:a16="http://schemas.microsoft.com/office/drawing/2014/main" id="{D26EDD60-6267-4832-8E5E-A82853D14817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019" name="Isosceles Triangle 1018">
          <a:extLst>
            <a:ext uri="{FF2B5EF4-FFF2-40B4-BE49-F238E27FC236}">
              <a16:creationId xmlns:a16="http://schemas.microsoft.com/office/drawing/2014/main" id="{C28042A6-F489-497D-A814-FF8578AC4420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020" name="Isosceles Triangle 1019">
          <a:extLst>
            <a:ext uri="{FF2B5EF4-FFF2-40B4-BE49-F238E27FC236}">
              <a16:creationId xmlns:a16="http://schemas.microsoft.com/office/drawing/2014/main" id="{DC67BDF8-6855-4929-A094-8B44F2B95D9D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021" name="Isosceles Triangle 1020">
          <a:extLst>
            <a:ext uri="{FF2B5EF4-FFF2-40B4-BE49-F238E27FC236}">
              <a16:creationId xmlns:a16="http://schemas.microsoft.com/office/drawing/2014/main" id="{FB70D757-714F-4969-A048-B6FDBF4E7849}"/>
            </a:ext>
          </a:extLst>
        </xdr:cNvPr>
        <xdr:cNvSpPr/>
      </xdr:nvSpPr>
      <xdr:spPr>
        <a:xfrm rot="10800000">
          <a:off x="140889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1022" name="Isosceles Triangle 1021">
          <a:extLst>
            <a:ext uri="{FF2B5EF4-FFF2-40B4-BE49-F238E27FC236}">
              <a16:creationId xmlns:a16="http://schemas.microsoft.com/office/drawing/2014/main" id="{3B618690-DE41-42B4-AB63-540FA1DB82EF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1023" name="Isosceles Triangle 1022">
          <a:extLst>
            <a:ext uri="{FF2B5EF4-FFF2-40B4-BE49-F238E27FC236}">
              <a16:creationId xmlns:a16="http://schemas.microsoft.com/office/drawing/2014/main" id="{9E8DCED8-17BF-4B2E-AFFE-EAB269370125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1024" name="Isosceles Triangle 1023">
          <a:extLst>
            <a:ext uri="{FF2B5EF4-FFF2-40B4-BE49-F238E27FC236}">
              <a16:creationId xmlns:a16="http://schemas.microsoft.com/office/drawing/2014/main" id="{62618DD0-F255-4297-ACAB-EA2A62FBC77E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1025" name="Isosceles Triangle 1024">
          <a:extLst>
            <a:ext uri="{FF2B5EF4-FFF2-40B4-BE49-F238E27FC236}">
              <a16:creationId xmlns:a16="http://schemas.microsoft.com/office/drawing/2014/main" id="{CF976B46-C9F5-4488-8E54-A011AE179A61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1026" name="Isosceles Triangle 1025">
          <a:extLst>
            <a:ext uri="{FF2B5EF4-FFF2-40B4-BE49-F238E27FC236}">
              <a16:creationId xmlns:a16="http://schemas.microsoft.com/office/drawing/2014/main" id="{D77ABDB4-CE84-4F36-B561-CAE1C731CF96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1027" name="Isosceles Triangle 1026">
          <a:extLst>
            <a:ext uri="{FF2B5EF4-FFF2-40B4-BE49-F238E27FC236}">
              <a16:creationId xmlns:a16="http://schemas.microsoft.com/office/drawing/2014/main" id="{B59D7522-2EB2-4127-8740-4161DCA8D7B1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1028" name="Isosceles Triangle 1027">
          <a:extLst>
            <a:ext uri="{FF2B5EF4-FFF2-40B4-BE49-F238E27FC236}">
              <a16:creationId xmlns:a16="http://schemas.microsoft.com/office/drawing/2014/main" id="{9A87CFEF-55AF-4C11-80BD-DC48FBFA720C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1029" name="Isosceles Triangle 1028">
          <a:extLst>
            <a:ext uri="{FF2B5EF4-FFF2-40B4-BE49-F238E27FC236}">
              <a16:creationId xmlns:a16="http://schemas.microsoft.com/office/drawing/2014/main" id="{04ECCC8C-10FF-4B04-BABD-00B43ADBC216}"/>
            </a:ext>
          </a:extLst>
        </xdr:cNvPr>
        <xdr:cNvSpPr/>
      </xdr:nvSpPr>
      <xdr:spPr>
        <a:xfrm rot="10800000">
          <a:off x="10621817" y="1041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1030" name="Isosceles Triangle 1029">
          <a:extLst>
            <a:ext uri="{FF2B5EF4-FFF2-40B4-BE49-F238E27FC236}">
              <a16:creationId xmlns:a16="http://schemas.microsoft.com/office/drawing/2014/main" id="{AAB9378C-5A16-42F3-9315-13A75984B60D}"/>
            </a:ext>
          </a:extLst>
        </xdr:cNvPr>
        <xdr:cNvSpPr/>
      </xdr:nvSpPr>
      <xdr:spPr>
        <a:xfrm rot="10800000">
          <a:off x="14088917" y="984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1031" name="Isosceles Triangle 1030">
          <a:extLst>
            <a:ext uri="{FF2B5EF4-FFF2-40B4-BE49-F238E27FC236}">
              <a16:creationId xmlns:a16="http://schemas.microsoft.com/office/drawing/2014/main" id="{F76987DA-ABF7-486A-9983-4B6F8B10FB0A}"/>
            </a:ext>
          </a:extLst>
        </xdr:cNvPr>
        <xdr:cNvSpPr/>
      </xdr:nvSpPr>
      <xdr:spPr>
        <a:xfrm rot="10800000">
          <a:off x="14088917" y="984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1032" name="Isosceles Triangle 1031">
          <a:extLst>
            <a:ext uri="{FF2B5EF4-FFF2-40B4-BE49-F238E27FC236}">
              <a16:creationId xmlns:a16="http://schemas.microsoft.com/office/drawing/2014/main" id="{F84D7F49-8679-4C4F-A625-64099CD95335}"/>
            </a:ext>
          </a:extLst>
        </xdr:cNvPr>
        <xdr:cNvSpPr/>
      </xdr:nvSpPr>
      <xdr:spPr>
        <a:xfrm rot="10800000">
          <a:off x="14088917" y="984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1033" name="Isosceles Triangle 1032">
          <a:extLst>
            <a:ext uri="{FF2B5EF4-FFF2-40B4-BE49-F238E27FC236}">
              <a16:creationId xmlns:a16="http://schemas.microsoft.com/office/drawing/2014/main" id="{B433991C-14A7-4C30-8865-06F10E8B368B}"/>
            </a:ext>
          </a:extLst>
        </xdr:cNvPr>
        <xdr:cNvSpPr/>
      </xdr:nvSpPr>
      <xdr:spPr>
        <a:xfrm rot="10800000">
          <a:off x="14088917" y="984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1034" name="Isosceles Triangle 1033">
          <a:extLst>
            <a:ext uri="{FF2B5EF4-FFF2-40B4-BE49-F238E27FC236}">
              <a16:creationId xmlns:a16="http://schemas.microsoft.com/office/drawing/2014/main" id="{E625D40B-F178-49EE-AE85-CF7E0EAC1C01}"/>
            </a:ext>
          </a:extLst>
        </xdr:cNvPr>
        <xdr:cNvSpPr/>
      </xdr:nvSpPr>
      <xdr:spPr>
        <a:xfrm rot="10800000">
          <a:off x="14088917" y="984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1035" name="Isosceles Triangle 1034">
          <a:extLst>
            <a:ext uri="{FF2B5EF4-FFF2-40B4-BE49-F238E27FC236}">
              <a16:creationId xmlns:a16="http://schemas.microsoft.com/office/drawing/2014/main" id="{22A5700F-4443-407C-AEBE-C37A915FD84C}"/>
            </a:ext>
          </a:extLst>
        </xdr:cNvPr>
        <xdr:cNvSpPr/>
      </xdr:nvSpPr>
      <xdr:spPr>
        <a:xfrm rot="10800000">
          <a:off x="14088917" y="984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1036" name="Isosceles Triangle 1035">
          <a:extLst>
            <a:ext uri="{FF2B5EF4-FFF2-40B4-BE49-F238E27FC236}">
              <a16:creationId xmlns:a16="http://schemas.microsoft.com/office/drawing/2014/main" id="{CD380217-BAFF-4254-AC99-9757662BA179}"/>
            </a:ext>
          </a:extLst>
        </xdr:cNvPr>
        <xdr:cNvSpPr/>
      </xdr:nvSpPr>
      <xdr:spPr>
        <a:xfrm rot="10800000">
          <a:off x="14088917" y="984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1037" name="Isosceles Triangle 1036">
          <a:extLst>
            <a:ext uri="{FF2B5EF4-FFF2-40B4-BE49-F238E27FC236}">
              <a16:creationId xmlns:a16="http://schemas.microsoft.com/office/drawing/2014/main" id="{0E67D26B-AD74-441F-855E-7E8E90B08340}"/>
            </a:ext>
          </a:extLst>
        </xdr:cNvPr>
        <xdr:cNvSpPr/>
      </xdr:nvSpPr>
      <xdr:spPr>
        <a:xfrm rot="10800000">
          <a:off x="14088917" y="984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1038" name="Isosceles Triangle 1037">
          <a:extLst>
            <a:ext uri="{FF2B5EF4-FFF2-40B4-BE49-F238E27FC236}">
              <a16:creationId xmlns:a16="http://schemas.microsoft.com/office/drawing/2014/main" id="{5E8F77D1-5A52-4EC9-B33A-925D88A21D67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1039" name="Isosceles Triangle 1038">
          <a:extLst>
            <a:ext uri="{FF2B5EF4-FFF2-40B4-BE49-F238E27FC236}">
              <a16:creationId xmlns:a16="http://schemas.microsoft.com/office/drawing/2014/main" id="{B9102576-8EAA-4E16-B759-0D9DD8E96150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1040" name="Isosceles Triangle 1039">
          <a:extLst>
            <a:ext uri="{FF2B5EF4-FFF2-40B4-BE49-F238E27FC236}">
              <a16:creationId xmlns:a16="http://schemas.microsoft.com/office/drawing/2014/main" id="{E2B1CE17-BBF2-42F1-B3EB-E99FC30337CF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1041" name="Isosceles Triangle 1040">
          <a:extLst>
            <a:ext uri="{FF2B5EF4-FFF2-40B4-BE49-F238E27FC236}">
              <a16:creationId xmlns:a16="http://schemas.microsoft.com/office/drawing/2014/main" id="{F5AD6A8C-ADC0-49F6-B91F-D1702A1856A3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1042" name="Isosceles Triangle 1041">
          <a:extLst>
            <a:ext uri="{FF2B5EF4-FFF2-40B4-BE49-F238E27FC236}">
              <a16:creationId xmlns:a16="http://schemas.microsoft.com/office/drawing/2014/main" id="{5F2D154C-F054-4423-B8EE-18807485D2C2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1043" name="Isosceles Triangle 1042">
          <a:extLst>
            <a:ext uri="{FF2B5EF4-FFF2-40B4-BE49-F238E27FC236}">
              <a16:creationId xmlns:a16="http://schemas.microsoft.com/office/drawing/2014/main" id="{252C1A8D-9648-4F16-9F65-DAF1CD96C59E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1044" name="Isosceles Triangle 1043">
          <a:extLst>
            <a:ext uri="{FF2B5EF4-FFF2-40B4-BE49-F238E27FC236}">
              <a16:creationId xmlns:a16="http://schemas.microsoft.com/office/drawing/2014/main" id="{9CAC3AF8-CC9E-4CFA-BB8E-DBED3390729E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1045" name="Isosceles Triangle 1044">
          <a:extLst>
            <a:ext uri="{FF2B5EF4-FFF2-40B4-BE49-F238E27FC236}">
              <a16:creationId xmlns:a16="http://schemas.microsoft.com/office/drawing/2014/main" id="{AD0CFA32-4888-4961-AF80-ACD3800F438A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1046" name="Isosceles Triangle 1045">
          <a:extLst>
            <a:ext uri="{FF2B5EF4-FFF2-40B4-BE49-F238E27FC236}">
              <a16:creationId xmlns:a16="http://schemas.microsoft.com/office/drawing/2014/main" id="{CEFE6769-55ED-4D4C-887C-451D389DB86F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1047" name="Isosceles Triangle 1046">
          <a:extLst>
            <a:ext uri="{FF2B5EF4-FFF2-40B4-BE49-F238E27FC236}">
              <a16:creationId xmlns:a16="http://schemas.microsoft.com/office/drawing/2014/main" id="{2FABC97B-1A40-4FFE-8D41-C071870F1D2D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1048" name="Isosceles Triangle 1047">
          <a:extLst>
            <a:ext uri="{FF2B5EF4-FFF2-40B4-BE49-F238E27FC236}">
              <a16:creationId xmlns:a16="http://schemas.microsoft.com/office/drawing/2014/main" id="{2FEB54B6-093D-40EC-B599-3A87973B0749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1049" name="Isosceles Triangle 1048">
          <a:extLst>
            <a:ext uri="{FF2B5EF4-FFF2-40B4-BE49-F238E27FC236}">
              <a16:creationId xmlns:a16="http://schemas.microsoft.com/office/drawing/2014/main" id="{B8E3AECE-5BC4-41B2-AA3D-925EBF8152C1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1050" name="Isosceles Triangle 1049">
          <a:extLst>
            <a:ext uri="{FF2B5EF4-FFF2-40B4-BE49-F238E27FC236}">
              <a16:creationId xmlns:a16="http://schemas.microsoft.com/office/drawing/2014/main" id="{E15232B3-D25F-4828-9B6D-F714A5892658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1051" name="Isosceles Triangle 1050">
          <a:extLst>
            <a:ext uri="{FF2B5EF4-FFF2-40B4-BE49-F238E27FC236}">
              <a16:creationId xmlns:a16="http://schemas.microsoft.com/office/drawing/2014/main" id="{ACC9C357-5C2C-410C-B5C5-765C1E2825B0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1052" name="Isosceles Triangle 1051">
          <a:extLst>
            <a:ext uri="{FF2B5EF4-FFF2-40B4-BE49-F238E27FC236}">
              <a16:creationId xmlns:a16="http://schemas.microsoft.com/office/drawing/2014/main" id="{BF26B6E2-6069-4058-945A-FDD261375F6E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1053" name="Isosceles Triangle 1052">
          <a:extLst>
            <a:ext uri="{FF2B5EF4-FFF2-40B4-BE49-F238E27FC236}">
              <a16:creationId xmlns:a16="http://schemas.microsoft.com/office/drawing/2014/main" id="{7CE0C563-4ACF-4F73-A34E-96DB9455B78E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1054" name="Isosceles Triangle 1053">
          <a:extLst>
            <a:ext uri="{FF2B5EF4-FFF2-40B4-BE49-F238E27FC236}">
              <a16:creationId xmlns:a16="http://schemas.microsoft.com/office/drawing/2014/main" id="{940234DE-B90A-422C-A5BC-1647BA2551CE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1055" name="Isosceles Triangle 1054">
          <a:extLst>
            <a:ext uri="{FF2B5EF4-FFF2-40B4-BE49-F238E27FC236}">
              <a16:creationId xmlns:a16="http://schemas.microsoft.com/office/drawing/2014/main" id="{474D6E14-3CD9-4DFA-9B6C-662DE008D663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1056" name="Isosceles Triangle 1055">
          <a:extLst>
            <a:ext uri="{FF2B5EF4-FFF2-40B4-BE49-F238E27FC236}">
              <a16:creationId xmlns:a16="http://schemas.microsoft.com/office/drawing/2014/main" id="{F373256B-2B9E-4639-AEFB-37C7B03F787D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1057" name="Isosceles Triangle 1056">
          <a:extLst>
            <a:ext uri="{FF2B5EF4-FFF2-40B4-BE49-F238E27FC236}">
              <a16:creationId xmlns:a16="http://schemas.microsoft.com/office/drawing/2014/main" id="{A62DEC42-5233-46D5-9EC8-5FB3234CE7B9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1058" name="Isosceles Triangle 1057">
          <a:extLst>
            <a:ext uri="{FF2B5EF4-FFF2-40B4-BE49-F238E27FC236}">
              <a16:creationId xmlns:a16="http://schemas.microsoft.com/office/drawing/2014/main" id="{487744D8-C24F-4156-88B4-E0D0612575C3}"/>
            </a:ext>
          </a:extLst>
        </xdr:cNvPr>
        <xdr:cNvSpPr/>
      </xdr:nvSpPr>
      <xdr:spPr>
        <a:xfrm rot="10800000">
          <a:off x="14088917" y="3385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61</xdr:row>
      <xdr:rowOff>196272</xdr:rowOff>
    </xdr:from>
    <xdr:to>
      <xdr:col>10</xdr:col>
      <xdr:colOff>2320636</xdr:colOff>
      <xdr:row>61</xdr:row>
      <xdr:rowOff>346363</xdr:rowOff>
    </xdr:to>
    <xdr:sp macro="" textlink="">
      <xdr:nvSpPr>
        <xdr:cNvPr id="1059" name="Isosceles Triangle 1058">
          <a:extLst>
            <a:ext uri="{FF2B5EF4-FFF2-40B4-BE49-F238E27FC236}">
              <a16:creationId xmlns:a16="http://schemas.microsoft.com/office/drawing/2014/main" id="{DD094B98-1FCF-4419-8C43-D89A31B5E5CC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61</xdr:row>
      <xdr:rowOff>196272</xdr:rowOff>
    </xdr:from>
    <xdr:to>
      <xdr:col>10</xdr:col>
      <xdr:colOff>2320636</xdr:colOff>
      <xdr:row>61</xdr:row>
      <xdr:rowOff>346363</xdr:rowOff>
    </xdr:to>
    <xdr:sp macro="" textlink="">
      <xdr:nvSpPr>
        <xdr:cNvPr id="1060" name="Isosceles Triangle 1059">
          <a:extLst>
            <a:ext uri="{FF2B5EF4-FFF2-40B4-BE49-F238E27FC236}">
              <a16:creationId xmlns:a16="http://schemas.microsoft.com/office/drawing/2014/main" id="{C9FD99BF-D230-43CE-874A-CC303C32428D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61</xdr:row>
      <xdr:rowOff>196272</xdr:rowOff>
    </xdr:from>
    <xdr:to>
      <xdr:col>10</xdr:col>
      <xdr:colOff>2320636</xdr:colOff>
      <xdr:row>61</xdr:row>
      <xdr:rowOff>346363</xdr:rowOff>
    </xdr:to>
    <xdr:sp macro="" textlink="">
      <xdr:nvSpPr>
        <xdr:cNvPr id="1061" name="Isosceles Triangle 1060">
          <a:extLst>
            <a:ext uri="{FF2B5EF4-FFF2-40B4-BE49-F238E27FC236}">
              <a16:creationId xmlns:a16="http://schemas.microsoft.com/office/drawing/2014/main" id="{B5C85117-20E9-4CD8-AD5D-A745DF737DC0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61</xdr:row>
      <xdr:rowOff>196272</xdr:rowOff>
    </xdr:from>
    <xdr:to>
      <xdr:col>10</xdr:col>
      <xdr:colOff>2320636</xdr:colOff>
      <xdr:row>61</xdr:row>
      <xdr:rowOff>346363</xdr:rowOff>
    </xdr:to>
    <xdr:sp macro="" textlink="">
      <xdr:nvSpPr>
        <xdr:cNvPr id="1062" name="Isosceles Triangle 1061">
          <a:extLst>
            <a:ext uri="{FF2B5EF4-FFF2-40B4-BE49-F238E27FC236}">
              <a16:creationId xmlns:a16="http://schemas.microsoft.com/office/drawing/2014/main" id="{03245C12-281D-4750-B387-49CAFE544049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1063" name="Isosceles Triangle 1062">
          <a:extLst>
            <a:ext uri="{FF2B5EF4-FFF2-40B4-BE49-F238E27FC236}">
              <a16:creationId xmlns:a16="http://schemas.microsoft.com/office/drawing/2014/main" id="{B6422D3A-3B3D-486F-A6BE-1B85D09520C5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1064" name="Isosceles Triangle 1063">
          <a:extLst>
            <a:ext uri="{FF2B5EF4-FFF2-40B4-BE49-F238E27FC236}">
              <a16:creationId xmlns:a16="http://schemas.microsoft.com/office/drawing/2014/main" id="{EBE096EE-9A5B-4FB4-83A0-2A831C5BB00A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1065" name="Isosceles Triangle 1064">
          <a:extLst>
            <a:ext uri="{FF2B5EF4-FFF2-40B4-BE49-F238E27FC236}">
              <a16:creationId xmlns:a16="http://schemas.microsoft.com/office/drawing/2014/main" id="{56532382-B6FC-4316-B68F-9BAA02B9311F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1066" name="Isosceles Triangle 1065">
          <a:extLst>
            <a:ext uri="{FF2B5EF4-FFF2-40B4-BE49-F238E27FC236}">
              <a16:creationId xmlns:a16="http://schemas.microsoft.com/office/drawing/2014/main" id="{45AD1059-DCA3-4978-B345-530D09628101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1067" name="Isosceles Triangle 1066">
          <a:extLst>
            <a:ext uri="{FF2B5EF4-FFF2-40B4-BE49-F238E27FC236}">
              <a16:creationId xmlns:a16="http://schemas.microsoft.com/office/drawing/2014/main" id="{1E718B3E-261F-4C49-A309-5FAB2D42AB98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1068" name="Isosceles Triangle 1067">
          <a:extLst>
            <a:ext uri="{FF2B5EF4-FFF2-40B4-BE49-F238E27FC236}">
              <a16:creationId xmlns:a16="http://schemas.microsoft.com/office/drawing/2014/main" id="{B35D530E-BF4F-4929-BA81-CE6B39D6B6A7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1069" name="Isosceles Triangle 1068">
          <a:extLst>
            <a:ext uri="{FF2B5EF4-FFF2-40B4-BE49-F238E27FC236}">
              <a16:creationId xmlns:a16="http://schemas.microsoft.com/office/drawing/2014/main" id="{91BC42DA-1E59-4A11-AB3E-765D5E0E436E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1070" name="Isosceles Triangle 1069">
          <a:extLst>
            <a:ext uri="{FF2B5EF4-FFF2-40B4-BE49-F238E27FC236}">
              <a16:creationId xmlns:a16="http://schemas.microsoft.com/office/drawing/2014/main" id="{CFE3BF4F-0EC8-4E06-8ED2-7DF15FAEB37C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1071" name="Isosceles Triangle 1070">
          <a:extLst>
            <a:ext uri="{FF2B5EF4-FFF2-40B4-BE49-F238E27FC236}">
              <a16:creationId xmlns:a16="http://schemas.microsoft.com/office/drawing/2014/main" id="{E006B462-6E88-4542-8FB6-CFAC96A80E76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1072" name="Isosceles Triangle 1071">
          <a:extLst>
            <a:ext uri="{FF2B5EF4-FFF2-40B4-BE49-F238E27FC236}">
              <a16:creationId xmlns:a16="http://schemas.microsoft.com/office/drawing/2014/main" id="{E4E73EB2-B24B-4697-9D7D-51CF8AC500F4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1073" name="Isosceles Triangle 1072">
          <a:extLst>
            <a:ext uri="{FF2B5EF4-FFF2-40B4-BE49-F238E27FC236}">
              <a16:creationId xmlns:a16="http://schemas.microsoft.com/office/drawing/2014/main" id="{1D5B8674-ABFB-4865-BDCF-53805F298605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1074" name="Isosceles Triangle 1073">
          <a:extLst>
            <a:ext uri="{FF2B5EF4-FFF2-40B4-BE49-F238E27FC236}">
              <a16:creationId xmlns:a16="http://schemas.microsoft.com/office/drawing/2014/main" id="{7E2945AD-0F98-4E98-8E3D-02BDF6D22845}"/>
            </a:ext>
          </a:extLst>
        </xdr:cNvPr>
        <xdr:cNvSpPr/>
      </xdr:nvSpPr>
      <xdr:spPr>
        <a:xfrm rot="10800000">
          <a:off x="14088917" y="3613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1261" name="Isosceles Triangle 1260">
          <a:extLst>
            <a:ext uri="{FF2B5EF4-FFF2-40B4-BE49-F238E27FC236}">
              <a16:creationId xmlns:a16="http://schemas.microsoft.com/office/drawing/2014/main" id="{56DA4980-E3BD-4B42-8E6E-3F96DCD958F5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1262" name="Isosceles Triangle 1261">
          <a:extLst>
            <a:ext uri="{FF2B5EF4-FFF2-40B4-BE49-F238E27FC236}">
              <a16:creationId xmlns:a16="http://schemas.microsoft.com/office/drawing/2014/main" id="{50627C25-4C19-4FB1-9F01-38B62036CAEF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1263" name="Isosceles Triangle 1262">
          <a:extLst>
            <a:ext uri="{FF2B5EF4-FFF2-40B4-BE49-F238E27FC236}">
              <a16:creationId xmlns:a16="http://schemas.microsoft.com/office/drawing/2014/main" id="{AD74B0C9-ACBF-4027-9C97-9E2CD1AA3822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1264" name="Isosceles Triangle 1263">
          <a:extLst>
            <a:ext uri="{FF2B5EF4-FFF2-40B4-BE49-F238E27FC236}">
              <a16:creationId xmlns:a16="http://schemas.microsoft.com/office/drawing/2014/main" id="{2CBBDA66-32FC-40FF-98EE-81F2E21D3674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1265" name="Isosceles Triangle 1264">
          <a:extLst>
            <a:ext uri="{FF2B5EF4-FFF2-40B4-BE49-F238E27FC236}">
              <a16:creationId xmlns:a16="http://schemas.microsoft.com/office/drawing/2014/main" id="{DEA9C9C2-6F81-47F2-BB8E-CF0377C7E2FD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1266" name="Isosceles Triangle 1265">
          <a:extLst>
            <a:ext uri="{FF2B5EF4-FFF2-40B4-BE49-F238E27FC236}">
              <a16:creationId xmlns:a16="http://schemas.microsoft.com/office/drawing/2014/main" id="{FB3C8DE2-419D-451C-8A9A-E4967A09A251}"/>
            </a:ext>
          </a:extLst>
        </xdr:cNvPr>
        <xdr:cNvSpPr/>
      </xdr:nvSpPr>
      <xdr:spPr>
        <a:xfrm rot="10800000">
          <a:off x="14088917" y="3842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1267" name="Isosceles Triangle 1266">
          <a:extLst>
            <a:ext uri="{FF2B5EF4-FFF2-40B4-BE49-F238E27FC236}">
              <a16:creationId xmlns:a16="http://schemas.microsoft.com/office/drawing/2014/main" id="{1B7A2F76-E1AA-4CA6-9001-C91A67EF6E0B}"/>
            </a:ext>
          </a:extLst>
        </xdr:cNvPr>
        <xdr:cNvSpPr/>
      </xdr:nvSpPr>
      <xdr:spPr>
        <a:xfrm rot="10800000">
          <a:off x="14088917" y="3842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1268" name="Isosceles Triangle 1267">
          <a:extLst>
            <a:ext uri="{FF2B5EF4-FFF2-40B4-BE49-F238E27FC236}">
              <a16:creationId xmlns:a16="http://schemas.microsoft.com/office/drawing/2014/main" id="{04076F6B-3BC5-48EB-81E1-AF3372F5318D}"/>
            </a:ext>
          </a:extLst>
        </xdr:cNvPr>
        <xdr:cNvSpPr/>
      </xdr:nvSpPr>
      <xdr:spPr>
        <a:xfrm rot="10800000">
          <a:off x="14088917" y="3842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1269" name="Isosceles Triangle 1268">
          <a:extLst>
            <a:ext uri="{FF2B5EF4-FFF2-40B4-BE49-F238E27FC236}">
              <a16:creationId xmlns:a16="http://schemas.microsoft.com/office/drawing/2014/main" id="{41F2F7B1-AAA6-41CA-AF24-DD8DFCF5E5A3}"/>
            </a:ext>
          </a:extLst>
        </xdr:cNvPr>
        <xdr:cNvSpPr/>
      </xdr:nvSpPr>
      <xdr:spPr>
        <a:xfrm rot="10800000">
          <a:off x="14088917" y="3842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270" name="Isosceles Triangle 1269">
          <a:extLst>
            <a:ext uri="{FF2B5EF4-FFF2-40B4-BE49-F238E27FC236}">
              <a16:creationId xmlns:a16="http://schemas.microsoft.com/office/drawing/2014/main" id="{E381034C-679E-4D37-890F-C5CE856F921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271" name="Isosceles Triangle 1270">
          <a:extLst>
            <a:ext uri="{FF2B5EF4-FFF2-40B4-BE49-F238E27FC236}">
              <a16:creationId xmlns:a16="http://schemas.microsoft.com/office/drawing/2014/main" id="{EAF309B8-0987-4605-953A-677C01CA4E1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272" name="Isosceles Triangle 1271">
          <a:extLst>
            <a:ext uri="{FF2B5EF4-FFF2-40B4-BE49-F238E27FC236}">
              <a16:creationId xmlns:a16="http://schemas.microsoft.com/office/drawing/2014/main" id="{3CF7D56B-DBF4-4886-B633-A950685CB6A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273" name="Isosceles Triangle 1272">
          <a:extLst>
            <a:ext uri="{FF2B5EF4-FFF2-40B4-BE49-F238E27FC236}">
              <a16:creationId xmlns:a16="http://schemas.microsoft.com/office/drawing/2014/main" id="{821B4E9F-3F47-426B-9BF8-BE7947E3A34C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274" name="Isosceles Triangle 1273">
          <a:extLst>
            <a:ext uri="{FF2B5EF4-FFF2-40B4-BE49-F238E27FC236}">
              <a16:creationId xmlns:a16="http://schemas.microsoft.com/office/drawing/2014/main" id="{AFBAD321-5AF9-4562-9349-E805C95621FF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275" name="Isosceles Triangle 1274">
          <a:extLst>
            <a:ext uri="{FF2B5EF4-FFF2-40B4-BE49-F238E27FC236}">
              <a16:creationId xmlns:a16="http://schemas.microsoft.com/office/drawing/2014/main" id="{D5CB201A-5016-413E-9F25-C92CECF1EE79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276" name="Isosceles Triangle 1275">
          <a:extLst>
            <a:ext uri="{FF2B5EF4-FFF2-40B4-BE49-F238E27FC236}">
              <a16:creationId xmlns:a16="http://schemas.microsoft.com/office/drawing/2014/main" id="{199A3DC9-6052-412D-92D2-174F86757F52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277" name="Isosceles Triangle 1276">
          <a:extLst>
            <a:ext uri="{FF2B5EF4-FFF2-40B4-BE49-F238E27FC236}">
              <a16:creationId xmlns:a16="http://schemas.microsoft.com/office/drawing/2014/main" id="{0829F5FD-8DD7-4884-9C91-2056BAE08E4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278" name="Isosceles Triangle 1277">
          <a:extLst>
            <a:ext uri="{FF2B5EF4-FFF2-40B4-BE49-F238E27FC236}">
              <a16:creationId xmlns:a16="http://schemas.microsoft.com/office/drawing/2014/main" id="{8BFB9064-89B9-41F8-AAC8-1BC09FB705A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279" name="Isosceles Triangle 1278">
          <a:extLst>
            <a:ext uri="{FF2B5EF4-FFF2-40B4-BE49-F238E27FC236}">
              <a16:creationId xmlns:a16="http://schemas.microsoft.com/office/drawing/2014/main" id="{BA1838B6-EEA7-4991-B244-6182D2E15C3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280" name="Isosceles Triangle 1279">
          <a:extLst>
            <a:ext uri="{FF2B5EF4-FFF2-40B4-BE49-F238E27FC236}">
              <a16:creationId xmlns:a16="http://schemas.microsoft.com/office/drawing/2014/main" id="{634E65C2-F074-42EF-A9D4-CE46F207D9A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281" name="Isosceles Triangle 1280">
          <a:extLst>
            <a:ext uri="{FF2B5EF4-FFF2-40B4-BE49-F238E27FC236}">
              <a16:creationId xmlns:a16="http://schemas.microsoft.com/office/drawing/2014/main" id="{43E6A51E-C7DF-48CA-9C36-A3BBB1D22CC5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282" name="Isosceles Triangle 1281">
          <a:extLst>
            <a:ext uri="{FF2B5EF4-FFF2-40B4-BE49-F238E27FC236}">
              <a16:creationId xmlns:a16="http://schemas.microsoft.com/office/drawing/2014/main" id="{51A12A75-9A4B-4ED9-87BD-22753D1F30F5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283" name="Isosceles Triangle 1282">
          <a:extLst>
            <a:ext uri="{FF2B5EF4-FFF2-40B4-BE49-F238E27FC236}">
              <a16:creationId xmlns:a16="http://schemas.microsoft.com/office/drawing/2014/main" id="{2226CD00-757D-431E-BA35-D3BDF75C3CD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284" name="Isosceles Triangle 1283">
          <a:extLst>
            <a:ext uri="{FF2B5EF4-FFF2-40B4-BE49-F238E27FC236}">
              <a16:creationId xmlns:a16="http://schemas.microsoft.com/office/drawing/2014/main" id="{D69515F1-7290-40DA-94CD-0EF21AF367A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285" name="Isosceles Triangle 1284">
          <a:extLst>
            <a:ext uri="{FF2B5EF4-FFF2-40B4-BE49-F238E27FC236}">
              <a16:creationId xmlns:a16="http://schemas.microsoft.com/office/drawing/2014/main" id="{E67D5204-5F02-4307-9E79-C2A17D7CA48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1286" name="Isosceles Triangle 1285">
          <a:extLst>
            <a:ext uri="{FF2B5EF4-FFF2-40B4-BE49-F238E27FC236}">
              <a16:creationId xmlns:a16="http://schemas.microsoft.com/office/drawing/2014/main" id="{C61F4594-B3CE-4759-9D39-E58CE7EC0BC9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1287" name="Isosceles Triangle 1286">
          <a:extLst>
            <a:ext uri="{FF2B5EF4-FFF2-40B4-BE49-F238E27FC236}">
              <a16:creationId xmlns:a16="http://schemas.microsoft.com/office/drawing/2014/main" id="{D9DA52F1-8111-4C41-AF5E-7AE0E4AFEB6F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93</xdr:row>
      <xdr:rowOff>196272</xdr:rowOff>
    </xdr:from>
    <xdr:to>
      <xdr:col>8</xdr:col>
      <xdr:colOff>2320636</xdr:colOff>
      <xdr:row>93</xdr:row>
      <xdr:rowOff>346363</xdr:rowOff>
    </xdr:to>
    <xdr:sp macro="" textlink="">
      <xdr:nvSpPr>
        <xdr:cNvPr id="1288" name="Isosceles Triangle 1287">
          <a:extLst>
            <a:ext uri="{FF2B5EF4-FFF2-40B4-BE49-F238E27FC236}">
              <a16:creationId xmlns:a16="http://schemas.microsoft.com/office/drawing/2014/main" id="{5D672F50-A45A-42BA-83D9-36DD3059E780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93</xdr:row>
      <xdr:rowOff>196272</xdr:rowOff>
    </xdr:from>
    <xdr:to>
      <xdr:col>8</xdr:col>
      <xdr:colOff>2320636</xdr:colOff>
      <xdr:row>93</xdr:row>
      <xdr:rowOff>346363</xdr:rowOff>
    </xdr:to>
    <xdr:sp macro="" textlink="">
      <xdr:nvSpPr>
        <xdr:cNvPr id="1289" name="Isosceles Triangle 1288">
          <a:extLst>
            <a:ext uri="{FF2B5EF4-FFF2-40B4-BE49-F238E27FC236}">
              <a16:creationId xmlns:a16="http://schemas.microsoft.com/office/drawing/2014/main" id="{476C7883-48AC-4DA5-9CB6-7519E4AB74D6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94</xdr:row>
      <xdr:rowOff>196272</xdr:rowOff>
    </xdr:from>
    <xdr:to>
      <xdr:col>8</xdr:col>
      <xdr:colOff>2320636</xdr:colOff>
      <xdr:row>94</xdr:row>
      <xdr:rowOff>346363</xdr:rowOff>
    </xdr:to>
    <xdr:sp macro="" textlink="">
      <xdr:nvSpPr>
        <xdr:cNvPr id="1290" name="Isosceles Triangle 1289">
          <a:extLst>
            <a:ext uri="{FF2B5EF4-FFF2-40B4-BE49-F238E27FC236}">
              <a16:creationId xmlns:a16="http://schemas.microsoft.com/office/drawing/2014/main" id="{D6CCA371-1AE7-43E5-B517-0A06AFB2EA0B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94</xdr:row>
      <xdr:rowOff>196272</xdr:rowOff>
    </xdr:from>
    <xdr:to>
      <xdr:col>8</xdr:col>
      <xdr:colOff>2320636</xdr:colOff>
      <xdr:row>94</xdr:row>
      <xdr:rowOff>346363</xdr:rowOff>
    </xdr:to>
    <xdr:sp macro="" textlink="">
      <xdr:nvSpPr>
        <xdr:cNvPr id="1291" name="Isosceles Triangle 1290">
          <a:extLst>
            <a:ext uri="{FF2B5EF4-FFF2-40B4-BE49-F238E27FC236}">
              <a16:creationId xmlns:a16="http://schemas.microsoft.com/office/drawing/2014/main" id="{03CC86AF-6797-4606-A950-280F61364C9B}"/>
            </a:ext>
          </a:extLst>
        </xdr:cNvPr>
        <xdr:cNvSpPr/>
      </xdr:nvSpPr>
      <xdr:spPr>
        <a:xfrm rot="10800000">
          <a:off x="10621817" y="5099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91</xdr:row>
      <xdr:rowOff>196272</xdr:rowOff>
    </xdr:from>
    <xdr:to>
      <xdr:col>10</xdr:col>
      <xdr:colOff>2320636</xdr:colOff>
      <xdr:row>91</xdr:row>
      <xdr:rowOff>346363</xdr:rowOff>
    </xdr:to>
    <xdr:sp macro="" textlink="">
      <xdr:nvSpPr>
        <xdr:cNvPr id="1292" name="Isosceles Triangle 1291">
          <a:extLst>
            <a:ext uri="{FF2B5EF4-FFF2-40B4-BE49-F238E27FC236}">
              <a16:creationId xmlns:a16="http://schemas.microsoft.com/office/drawing/2014/main" id="{07BEB2FA-25AF-458E-AB53-90C0D9F9F449}"/>
            </a:ext>
          </a:extLst>
        </xdr:cNvPr>
        <xdr:cNvSpPr/>
      </xdr:nvSpPr>
      <xdr:spPr>
        <a:xfrm rot="10800000">
          <a:off x="14088917" y="5328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92</xdr:row>
      <xdr:rowOff>196272</xdr:rowOff>
    </xdr:from>
    <xdr:to>
      <xdr:col>10</xdr:col>
      <xdr:colOff>2320636</xdr:colOff>
      <xdr:row>92</xdr:row>
      <xdr:rowOff>346363</xdr:rowOff>
    </xdr:to>
    <xdr:sp macro="" textlink="">
      <xdr:nvSpPr>
        <xdr:cNvPr id="1293" name="Isosceles Triangle 1292">
          <a:extLst>
            <a:ext uri="{FF2B5EF4-FFF2-40B4-BE49-F238E27FC236}">
              <a16:creationId xmlns:a16="http://schemas.microsoft.com/office/drawing/2014/main" id="{AF2D5487-6B03-447C-8CEE-C8B851E4CA54}"/>
            </a:ext>
          </a:extLst>
        </xdr:cNvPr>
        <xdr:cNvSpPr/>
      </xdr:nvSpPr>
      <xdr:spPr>
        <a:xfrm rot="10800000">
          <a:off x="14088917" y="5328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93</xdr:row>
      <xdr:rowOff>196272</xdr:rowOff>
    </xdr:from>
    <xdr:to>
      <xdr:col>10</xdr:col>
      <xdr:colOff>2320636</xdr:colOff>
      <xdr:row>93</xdr:row>
      <xdr:rowOff>346363</xdr:rowOff>
    </xdr:to>
    <xdr:sp macro="" textlink="">
      <xdr:nvSpPr>
        <xdr:cNvPr id="1294" name="Isosceles Triangle 1293">
          <a:extLst>
            <a:ext uri="{FF2B5EF4-FFF2-40B4-BE49-F238E27FC236}">
              <a16:creationId xmlns:a16="http://schemas.microsoft.com/office/drawing/2014/main" id="{234D4F3B-0B80-4B93-908C-1B2FAEEC89ED}"/>
            </a:ext>
          </a:extLst>
        </xdr:cNvPr>
        <xdr:cNvSpPr/>
      </xdr:nvSpPr>
      <xdr:spPr>
        <a:xfrm rot="10800000">
          <a:off x="14088917" y="5328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94</xdr:row>
      <xdr:rowOff>196272</xdr:rowOff>
    </xdr:from>
    <xdr:to>
      <xdr:col>10</xdr:col>
      <xdr:colOff>2320636</xdr:colOff>
      <xdr:row>94</xdr:row>
      <xdr:rowOff>346363</xdr:rowOff>
    </xdr:to>
    <xdr:sp macro="" textlink="">
      <xdr:nvSpPr>
        <xdr:cNvPr id="1295" name="Isosceles Triangle 1294">
          <a:extLst>
            <a:ext uri="{FF2B5EF4-FFF2-40B4-BE49-F238E27FC236}">
              <a16:creationId xmlns:a16="http://schemas.microsoft.com/office/drawing/2014/main" id="{A58CB7B2-1FE9-463D-8918-47B57A0FDA03}"/>
            </a:ext>
          </a:extLst>
        </xdr:cNvPr>
        <xdr:cNvSpPr/>
      </xdr:nvSpPr>
      <xdr:spPr>
        <a:xfrm rot="10800000">
          <a:off x="14088917" y="5328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109</xdr:row>
      <xdr:rowOff>196272</xdr:rowOff>
    </xdr:from>
    <xdr:to>
      <xdr:col>8</xdr:col>
      <xdr:colOff>2320636</xdr:colOff>
      <xdr:row>109</xdr:row>
      <xdr:rowOff>346363</xdr:rowOff>
    </xdr:to>
    <xdr:sp macro="" textlink="">
      <xdr:nvSpPr>
        <xdr:cNvPr id="1296" name="Isosceles Triangle 1295">
          <a:extLst>
            <a:ext uri="{FF2B5EF4-FFF2-40B4-BE49-F238E27FC236}">
              <a16:creationId xmlns:a16="http://schemas.microsoft.com/office/drawing/2014/main" id="{00B1EADD-6346-4587-84AC-7E76EB24E92C}"/>
            </a:ext>
          </a:extLst>
        </xdr:cNvPr>
        <xdr:cNvSpPr/>
      </xdr:nvSpPr>
      <xdr:spPr>
        <a:xfrm rot="10800000">
          <a:off x="10621817" y="6185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109</xdr:row>
      <xdr:rowOff>196272</xdr:rowOff>
    </xdr:from>
    <xdr:to>
      <xdr:col>8</xdr:col>
      <xdr:colOff>2320636</xdr:colOff>
      <xdr:row>109</xdr:row>
      <xdr:rowOff>346363</xdr:rowOff>
    </xdr:to>
    <xdr:sp macro="" textlink="">
      <xdr:nvSpPr>
        <xdr:cNvPr id="1297" name="Isosceles Triangle 1296">
          <a:extLst>
            <a:ext uri="{FF2B5EF4-FFF2-40B4-BE49-F238E27FC236}">
              <a16:creationId xmlns:a16="http://schemas.microsoft.com/office/drawing/2014/main" id="{81FFBEA8-9BF9-4F46-A9CA-A3D934D2BCE9}"/>
            </a:ext>
          </a:extLst>
        </xdr:cNvPr>
        <xdr:cNvSpPr/>
      </xdr:nvSpPr>
      <xdr:spPr>
        <a:xfrm rot="10800000">
          <a:off x="10621817" y="6185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110</xdr:row>
      <xdr:rowOff>196272</xdr:rowOff>
    </xdr:from>
    <xdr:to>
      <xdr:col>8</xdr:col>
      <xdr:colOff>2320636</xdr:colOff>
      <xdr:row>110</xdr:row>
      <xdr:rowOff>346363</xdr:rowOff>
    </xdr:to>
    <xdr:sp macro="" textlink="">
      <xdr:nvSpPr>
        <xdr:cNvPr id="1298" name="Isosceles Triangle 1297">
          <a:extLst>
            <a:ext uri="{FF2B5EF4-FFF2-40B4-BE49-F238E27FC236}">
              <a16:creationId xmlns:a16="http://schemas.microsoft.com/office/drawing/2014/main" id="{1405AE15-1AAB-4463-85D2-5386DD25B95E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110</xdr:row>
      <xdr:rowOff>196272</xdr:rowOff>
    </xdr:from>
    <xdr:to>
      <xdr:col>8</xdr:col>
      <xdr:colOff>2320636</xdr:colOff>
      <xdr:row>110</xdr:row>
      <xdr:rowOff>346363</xdr:rowOff>
    </xdr:to>
    <xdr:sp macro="" textlink="">
      <xdr:nvSpPr>
        <xdr:cNvPr id="1299" name="Isosceles Triangle 1298">
          <a:extLst>
            <a:ext uri="{FF2B5EF4-FFF2-40B4-BE49-F238E27FC236}">
              <a16:creationId xmlns:a16="http://schemas.microsoft.com/office/drawing/2014/main" id="{326E4C1C-9A43-41F9-B45F-CC376A87537B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110</xdr:row>
      <xdr:rowOff>196272</xdr:rowOff>
    </xdr:from>
    <xdr:to>
      <xdr:col>8</xdr:col>
      <xdr:colOff>2320636</xdr:colOff>
      <xdr:row>110</xdr:row>
      <xdr:rowOff>346363</xdr:rowOff>
    </xdr:to>
    <xdr:sp macro="" textlink="">
      <xdr:nvSpPr>
        <xdr:cNvPr id="1300" name="Isosceles Triangle 1299">
          <a:extLst>
            <a:ext uri="{FF2B5EF4-FFF2-40B4-BE49-F238E27FC236}">
              <a16:creationId xmlns:a16="http://schemas.microsoft.com/office/drawing/2014/main" id="{2A33F580-9FEC-4306-AEE4-1C83B8EE3AD0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110</xdr:row>
      <xdr:rowOff>196272</xdr:rowOff>
    </xdr:from>
    <xdr:to>
      <xdr:col>8</xdr:col>
      <xdr:colOff>2320636</xdr:colOff>
      <xdr:row>110</xdr:row>
      <xdr:rowOff>346363</xdr:rowOff>
    </xdr:to>
    <xdr:sp macro="" textlink="">
      <xdr:nvSpPr>
        <xdr:cNvPr id="1301" name="Isosceles Triangle 1300">
          <a:extLst>
            <a:ext uri="{FF2B5EF4-FFF2-40B4-BE49-F238E27FC236}">
              <a16:creationId xmlns:a16="http://schemas.microsoft.com/office/drawing/2014/main" id="{16F7DAA2-CB19-4EE6-940C-CB69E15ECAB7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111</xdr:row>
      <xdr:rowOff>196272</xdr:rowOff>
    </xdr:from>
    <xdr:to>
      <xdr:col>8</xdr:col>
      <xdr:colOff>2320636</xdr:colOff>
      <xdr:row>111</xdr:row>
      <xdr:rowOff>346363</xdr:rowOff>
    </xdr:to>
    <xdr:sp macro="" textlink="">
      <xdr:nvSpPr>
        <xdr:cNvPr id="1302" name="Isosceles Triangle 1301">
          <a:extLst>
            <a:ext uri="{FF2B5EF4-FFF2-40B4-BE49-F238E27FC236}">
              <a16:creationId xmlns:a16="http://schemas.microsoft.com/office/drawing/2014/main" id="{2FCA2FCF-4C48-46C5-A6CE-2E20BE4671F8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111</xdr:row>
      <xdr:rowOff>196272</xdr:rowOff>
    </xdr:from>
    <xdr:to>
      <xdr:col>8</xdr:col>
      <xdr:colOff>2320636</xdr:colOff>
      <xdr:row>111</xdr:row>
      <xdr:rowOff>346363</xdr:rowOff>
    </xdr:to>
    <xdr:sp macro="" textlink="">
      <xdr:nvSpPr>
        <xdr:cNvPr id="1303" name="Isosceles Triangle 1302">
          <a:extLst>
            <a:ext uri="{FF2B5EF4-FFF2-40B4-BE49-F238E27FC236}">
              <a16:creationId xmlns:a16="http://schemas.microsoft.com/office/drawing/2014/main" id="{CFDFA824-267D-431E-BABE-B8D19636504F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111</xdr:row>
      <xdr:rowOff>196272</xdr:rowOff>
    </xdr:from>
    <xdr:to>
      <xdr:col>8</xdr:col>
      <xdr:colOff>2320636</xdr:colOff>
      <xdr:row>111</xdr:row>
      <xdr:rowOff>346363</xdr:rowOff>
    </xdr:to>
    <xdr:sp macro="" textlink="">
      <xdr:nvSpPr>
        <xdr:cNvPr id="1304" name="Isosceles Triangle 1303">
          <a:extLst>
            <a:ext uri="{FF2B5EF4-FFF2-40B4-BE49-F238E27FC236}">
              <a16:creationId xmlns:a16="http://schemas.microsoft.com/office/drawing/2014/main" id="{AD7D0087-C6EC-475F-B26B-4DFFB22DF65A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111</xdr:row>
      <xdr:rowOff>196272</xdr:rowOff>
    </xdr:from>
    <xdr:to>
      <xdr:col>8</xdr:col>
      <xdr:colOff>2320636</xdr:colOff>
      <xdr:row>111</xdr:row>
      <xdr:rowOff>346363</xdr:rowOff>
    </xdr:to>
    <xdr:sp macro="" textlink="">
      <xdr:nvSpPr>
        <xdr:cNvPr id="1305" name="Isosceles Triangle 1304">
          <a:extLst>
            <a:ext uri="{FF2B5EF4-FFF2-40B4-BE49-F238E27FC236}">
              <a16:creationId xmlns:a16="http://schemas.microsoft.com/office/drawing/2014/main" id="{FE75770D-B743-4C59-89D7-5745106A7B9F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112</xdr:row>
      <xdr:rowOff>196272</xdr:rowOff>
    </xdr:from>
    <xdr:to>
      <xdr:col>8</xdr:col>
      <xdr:colOff>2320636</xdr:colOff>
      <xdr:row>112</xdr:row>
      <xdr:rowOff>346363</xdr:rowOff>
    </xdr:to>
    <xdr:sp macro="" textlink="">
      <xdr:nvSpPr>
        <xdr:cNvPr id="1306" name="Isosceles Triangle 1305">
          <a:extLst>
            <a:ext uri="{FF2B5EF4-FFF2-40B4-BE49-F238E27FC236}">
              <a16:creationId xmlns:a16="http://schemas.microsoft.com/office/drawing/2014/main" id="{81D2BDC7-ECB8-4F4D-B662-EF4AD1409E4E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112</xdr:row>
      <xdr:rowOff>196272</xdr:rowOff>
    </xdr:from>
    <xdr:to>
      <xdr:col>8</xdr:col>
      <xdr:colOff>2320636</xdr:colOff>
      <xdr:row>112</xdr:row>
      <xdr:rowOff>346363</xdr:rowOff>
    </xdr:to>
    <xdr:sp macro="" textlink="">
      <xdr:nvSpPr>
        <xdr:cNvPr id="1307" name="Isosceles Triangle 1306">
          <a:extLst>
            <a:ext uri="{FF2B5EF4-FFF2-40B4-BE49-F238E27FC236}">
              <a16:creationId xmlns:a16="http://schemas.microsoft.com/office/drawing/2014/main" id="{9C37A86D-4B17-4A3A-8294-D5E0C30B63A9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112</xdr:row>
      <xdr:rowOff>196272</xdr:rowOff>
    </xdr:from>
    <xdr:to>
      <xdr:col>8</xdr:col>
      <xdr:colOff>2320636</xdr:colOff>
      <xdr:row>112</xdr:row>
      <xdr:rowOff>346363</xdr:rowOff>
    </xdr:to>
    <xdr:sp macro="" textlink="">
      <xdr:nvSpPr>
        <xdr:cNvPr id="1308" name="Isosceles Triangle 1307">
          <a:extLst>
            <a:ext uri="{FF2B5EF4-FFF2-40B4-BE49-F238E27FC236}">
              <a16:creationId xmlns:a16="http://schemas.microsoft.com/office/drawing/2014/main" id="{3710AC92-5BB8-4EC0-BC52-9872CF4B589D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112</xdr:row>
      <xdr:rowOff>196272</xdr:rowOff>
    </xdr:from>
    <xdr:to>
      <xdr:col>8</xdr:col>
      <xdr:colOff>2320636</xdr:colOff>
      <xdr:row>112</xdr:row>
      <xdr:rowOff>346363</xdr:rowOff>
    </xdr:to>
    <xdr:sp macro="" textlink="">
      <xdr:nvSpPr>
        <xdr:cNvPr id="1309" name="Isosceles Triangle 1308">
          <a:extLst>
            <a:ext uri="{FF2B5EF4-FFF2-40B4-BE49-F238E27FC236}">
              <a16:creationId xmlns:a16="http://schemas.microsoft.com/office/drawing/2014/main" id="{DD5E8251-CB77-4F0F-9480-90BC0F4EA268}"/>
            </a:ext>
          </a:extLst>
        </xdr:cNvPr>
        <xdr:cNvSpPr/>
      </xdr:nvSpPr>
      <xdr:spPr>
        <a:xfrm rot="10800000">
          <a:off x="10621817" y="6128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109</xdr:row>
      <xdr:rowOff>196272</xdr:rowOff>
    </xdr:from>
    <xdr:to>
      <xdr:col>10</xdr:col>
      <xdr:colOff>2320636</xdr:colOff>
      <xdr:row>109</xdr:row>
      <xdr:rowOff>346363</xdr:rowOff>
    </xdr:to>
    <xdr:sp macro="" textlink="">
      <xdr:nvSpPr>
        <xdr:cNvPr id="1310" name="Isosceles Triangle 1309">
          <a:extLst>
            <a:ext uri="{FF2B5EF4-FFF2-40B4-BE49-F238E27FC236}">
              <a16:creationId xmlns:a16="http://schemas.microsoft.com/office/drawing/2014/main" id="{BA7F36AB-646A-49B6-A1EA-40B5707379B0}"/>
            </a:ext>
          </a:extLst>
        </xdr:cNvPr>
        <xdr:cNvSpPr/>
      </xdr:nvSpPr>
      <xdr:spPr>
        <a:xfrm rot="10800000">
          <a:off x="14088917" y="6356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110</xdr:row>
      <xdr:rowOff>196272</xdr:rowOff>
    </xdr:from>
    <xdr:to>
      <xdr:col>10</xdr:col>
      <xdr:colOff>2320636</xdr:colOff>
      <xdr:row>110</xdr:row>
      <xdr:rowOff>346363</xdr:rowOff>
    </xdr:to>
    <xdr:sp macro="" textlink="">
      <xdr:nvSpPr>
        <xdr:cNvPr id="1311" name="Isosceles Triangle 1310">
          <a:extLst>
            <a:ext uri="{FF2B5EF4-FFF2-40B4-BE49-F238E27FC236}">
              <a16:creationId xmlns:a16="http://schemas.microsoft.com/office/drawing/2014/main" id="{7ECC7153-3FBF-49DA-8A5E-95AD17CE179C}"/>
            </a:ext>
          </a:extLst>
        </xdr:cNvPr>
        <xdr:cNvSpPr/>
      </xdr:nvSpPr>
      <xdr:spPr>
        <a:xfrm rot="10800000">
          <a:off x="14088917" y="6356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111</xdr:row>
      <xdr:rowOff>196272</xdr:rowOff>
    </xdr:from>
    <xdr:to>
      <xdr:col>10</xdr:col>
      <xdr:colOff>2320636</xdr:colOff>
      <xdr:row>111</xdr:row>
      <xdr:rowOff>346363</xdr:rowOff>
    </xdr:to>
    <xdr:sp macro="" textlink="">
      <xdr:nvSpPr>
        <xdr:cNvPr id="1312" name="Isosceles Triangle 1311">
          <a:extLst>
            <a:ext uri="{FF2B5EF4-FFF2-40B4-BE49-F238E27FC236}">
              <a16:creationId xmlns:a16="http://schemas.microsoft.com/office/drawing/2014/main" id="{F64DECE7-0AB3-4187-B6D0-5425B42A98B5}"/>
            </a:ext>
          </a:extLst>
        </xdr:cNvPr>
        <xdr:cNvSpPr/>
      </xdr:nvSpPr>
      <xdr:spPr>
        <a:xfrm rot="10800000">
          <a:off x="14088917" y="6356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112</xdr:row>
      <xdr:rowOff>196272</xdr:rowOff>
    </xdr:from>
    <xdr:to>
      <xdr:col>10</xdr:col>
      <xdr:colOff>2320636</xdr:colOff>
      <xdr:row>112</xdr:row>
      <xdr:rowOff>346363</xdr:rowOff>
    </xdr:to>
    <xdr:sp macro="" textlink="">
      <xdr:nvSpPr>
        <xdr:cNvPr id="1313" name="Isosceles Triangle 1312">
          <a:extLst>
            <a:ext uri="{FF2B5EF4-FFF2-40B4-BE49-F238E27FC236}">
              <a16:creationId xmlns:a16="http://schemas.microsoft.com/office/drawing/2014/main" id="{C1067D9A-CB13-487E-89D2-6DE28592347B}"/>
            </a:ext>
          </a:extLst>
        </xdr:cNvPr>
        <xdr:cNvSpPr/>
      </xdr:nvSpPr>
      <xdr:spPr>
        <a:xfrm rot="10800000">
          <a:off x="14088917" y="6356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320" name="Isosceles Triangle 1319">
          <a:extLst>
            <a:ext uri="{FF2B5EF4-FFF2-40B4-BE49-F238E27FC236}">
              <a16:creationId xmlns:a16="http://schemas.microsoft.com/office/drawing/2014/main" id="{91844C21-F9CC-4FBE-9C1E-58226520223A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321" name="Isosceles Triangle 1320">
          <a:extLst>
            <a:ext uri="{FF2B5EF4-FFF2-40B4-BE49-F238E27FC236}">
              <a16:creationId xmlns:a16="http://schemas.microsoft.com/office/drawing/2014/main" id="{3BEFC190-1C71-4EB5-9204-08413952B73B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322" name="Isosceles Triangle 1321">
          <a:extLst>
            <a:ext uri="{FF2B5EF4-FFF2-40B4-BE49-F238E27FC236}">
              <a16:creationId xmlns:a16="http://schemas.microsoft.com/office/drawing/2014/main" id="{7F35DB1A-545B-420F-8588-BC5079E41B42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323" name="Isosceles Triangle 1322">
          <a:extLst>
            <a:ext uri="{FF2B5EF4-FFF2-40B4-BE49-F238E27FC236}">
              <a16:creationId xmlns:a16="http://schemas.microsoft.com/office/drawing/2014/main" id="{E9FB2F73-5953-4E11-8633-A2C5D8850EB0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324" name="Isosceles Triangle 1323">
          <a:extLst>
            <a:ext uri="{FF2B5EF4-FFF2-40B4-BE49-F238E27FC236}">
              <a16:creationId xmlns:a16="http://schemas.microsoft.com/office/drawing/2014/main" id="{FDF3464A-FFBB-4A22-92D8-3ACDE0C6E654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325" name="Isosceles Triangle 1324">
          <a:extLst>
            <a:ext uri="{FF2B5EF4-FFF2-40B4-BE49-F238E27FC236}">
              <a16:creationId xmlns:a16="http://schemas.microsoft.com/office/drawing/2014/main" id="{5677A151-B5F5-4836-9CF4-E97F85D844E6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326" name="Isosceles Triangle 1325">
          <a:extLst>
            <a:ext uri="{FF2B5EF4-FFF2-40B4-BE49-F238E27FC236}">
              <a16:creationId xmlns:a16="http://schemas.microsoft.com/office/drawing/2014/main" id="{156A3E95-2C04-41EB-9CE2-ABDB93125705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327" name="Isosceles Triangle 1326">
          <a:extLst>
            <a:ext uri="{FF2B5EF4-FFF2-40B4-BE49-F238E27FC236}">
              <a16:creationId xmlns:a16="http://schemas.microsoft.com/office/drawing/2014/main" id="{CEF97953-64CD-415C-9031-26C6EB22BA3B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328" name="Isosceles Triangle 1327">
          <a:extLst>
            <a:ext uri="{FF2B5EF4-FFF2-40B4-BE49-F238E27FC236}">
              <a16:creationId xmlns:a16="http://schemas.microsoft.com/office/drawing/2014/main" id="{A38D5433-E8F8-4A87-B897-1E7FCBB2A541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329" name="Isosceles Triangle 1328">
          <a:extLst>
            <a:ext uri="{FF2B5EF4-FFF2-40B4-BE49-F238E27FC236}">
              <a16:creationId xmlns:a16="http://schemas.microsoft.com/office/drawing/2014/main" id="{CA4642BA-DB2F-4A09-BA08-24ED4D7C9C5C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330" name="Isosceles Triangle 1329">
          <a:extLst>
            <a:ext uri="{FF2B5EF4-FFF2-40B4-BE49-F238E27FC236}">
              <a16:creationId xmlns:a16="http://schemas.microsoft.com/office/drawing/2014/main" id="{8279967C-FD23-43D4-AB2C-C4E7A9A352F2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331" name="Isosceles Triangle 1330">
          <a:extLst>
            <a:ext uri="{FF2B5EF4-FFF2-40B4-BE49-F238E27FC236}">
              <a16:creationId xmlns:a16="http://schemas.microsoft.com/office/drawing/2014/main" id="{B7EE2A76-39A1-4F5A-A42D-6BD6CBB04D97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332" name="Isosceles Triangle 1331">
          <a:extLst>
            <a:ext uri="{FF2B5EF4-FFF2-40B4-BE49-F238E27FC236}">
              <a16:creationId xmlns:a16="http://schemas.microsoft.com/office/drawing/2014/main" id="{A654C277-98CB-4DAF-AD86-6ED2D727AB55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333" name="Isosceles Triangle 1332">
          <a:extLst>
            <a:ext uri="{FF2B5EF4-FFF2-40B4-BE49-F238E27FC236}">
              <a16:creationId xmlns:a16="http://schemas.microsoft.com/office/drawing/2014/main" id="{FF474405-8077-41D0-B804-7A92E2641CC2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334" name="Isosceles Triangle 1333">
          <a:extLst>
            <a:ext uri="{FF2B5EF4-FFF2-40B4-BE49-F238E27FC236}">
              <a16:creationId xmlns:a16="http://schemas.microsoft.com/office/drawing/2014/main" id="{B7E67D39-6A51-4763-ABD6-5880D1945EFE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335" name="Isosceles Triangle 1334">
          <a:extLst>
            <a:ext uri="{FF2B5EF4-FFF2-40B4-BE49-F238E27FC236}">
              <a16:creationId xmlns:a16="http://schemas.microsoft.com/office/drawing/2014/main" id="{5AE15343-9261-40CA-B8A8-6E58F2D3EA56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336" name="Isosceles Triangle 1335">
          <a:extLst>
            <a:ext uri="{FF2B5EF4-FFF2-40B4-BE49-F238E27FC236}">
              <a16:creationId xmlns:a16="http://schemas.microsoft.com/office/drawing/2014/main" id="{212CE265-7CC2-4452-9F0E-8C7518968DF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337" name="Isosceles Triangle 1336">
          <a:extLst>
            <a:ext uri="{FF2B5EF4-FFF2-40B4-BE49-F238E27FC236}">
              <a16:creationId xmlns:a16="http://schemas.microsoft.com/office/drawing/2014/main" id="{86F5A063-8530-4129-85B5-6E1F61B518BB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338" name="Isosceles Triangle 1337">
          <a:extLst>
            <a:ext uri="{FF2B5EF4-FFF2-40B4-BE49-F238E27FC236}">
              <a16:creationId xmlns:a16="http://schemas.microsoft.com/office/drawing/2014/main" id="{BEA992F8-D1CF-4E39-9796-0F073762509C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339" name="Isosceles Triangle 1338">
          <a:extLst>
            <a:ext uri="{FF2B5EF4-FFF2-40B4-BE49-F238E27FC236}">
              <a16:creationId xmlns:a16="http://schemas.microsoft.com/office/drawing/2014/main" id="{A1905130-D8B3-4BD1-8B77-D138993B601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340" name="Isosceles Triangle 1339">
          <a:extLst>
            <a:ext uri="{FF2B5EF4-FFF2-40B4-BE49-F238E27FC236}">
              <a16:creationId xmlns:a16="http://schemas.microsoft.com/office/drawing/2014/main" id="{7FC2987B-4DF3-4121-AF24-F14201313874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341" name="Isosceles Triangle 1340">
          <a:extLst>
            <a:ext uri="{FF2B5EF4-FFF2-40B4-BE49-F238E27FC236}">
              <a16:creationId xmlns:a16="http://schemas.microsoft.com/office/drawing/2014/main" id="{125A9016-579D-4EDD-8997-F500BC4EF21F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342" name="Isosceles Triangle 1341">
          <a:extLst>
            <a:ext uri="{FF2B5EF4-FFF2-40B4-BE49-F238E27FC236}">
              <a16:creationId xmlns:a16="http://schemas.microsoft.com/office/drawing/2014/main" id="{C0F1D9C6-17F4-432C-B485-3C19BED60251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343" name="Isosceles Triangle 1342">
          <a:extLst>
            <a:ext uri="{FF2B5EF4-FFF2-40B4-BE49-F238E27FC236}">
              <a16:creationId xmlns:a16="http://schemas.microsoft.com/office/drawing/2014/main" id="{5999675B-6A33-4C5B-BE2E-7CF5A04AAF7D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344" name="Isosceles Triangle 1343">
          <a:extLst>
            <a:ext uri="{FF2B5EF4-FFF2-40B4-BE49-F238E27FC236}">
              <a16:creationId xmlns:a16="http://schemas.microsoft.com/office/drawing/2014/main" id="{D45D1729-386E-4FCD-AC22-2AE4623EF732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345" name="Isosceles Triangle 1344">
          <a:extLst>
            <a:ext uri="{FF2B5EF4-FFF2-40B4-BE49-F238E27FC236}">
              <a16:creationId xmlns:a16="http://schemas.microsoft.com/office/drawing/2014/main" id="{1255B791-A1AA-4C4A-AD72-4A758DFE9C98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346" name="Isosceles Triangle 1345">
          <a:extLst>
            <a:ext uri="{FF2B5EF4-FFF2-40B4-BE49-F238E27FC236}">
              <a16:creationId xmlns:a16="http://schemas.microsoft.com/office/drawing/2014/main" id="{32119A56-F0E6-4BE2-818A-A9C4984A5FA1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347" name="Isosceles Triangle 1346">
          <a:extLst>
            <a:ext uri="{FF2B5EF4-FFF2-40B4-BE49-F238E27FC236}">
              <a16:creationId xmlns:a16="http://schemas.microsoft.com/office/drawing/2014/main" id="{604C0BA1-A56C-4E85-8722-2D4BE1EAB277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348" name="Isosceles Triangle 1347">
          <a:extLst>
            <a:ext uri="{FF2B5EF4-FFF2-40B4-BE49-F238E27FC236}">
              <a16:creationId xmlns:a16="http://schemas.microsoft.com/office/drawing/2014/main" id="{BD1EE6F0-C442-4742-9041-BD178572CA58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76</xdr:row>
      <xdr:rowOff>196272</xdr:rowOff>
    </xdr:from>
    <xdr:to>
      <xdr:col>10</xdr:col>
      <xdr:colOff>2320636</xdr:colOff>
      <xdr:row>76</xdr:row>
      <xdr:rowOff>346363</xdr:rowOff>
    </xdr:to>
    <xdr:sp macro="" textlink="">
      <xdr:nvSpPr>
        <xdr:cNvPr id="1349" name="Isosceles Triangle 1348">
          <a:extLst>
            <a:ext uri="{FF2B5EF4-FFF2-40B4-BE49-F238E27FC236}">
              <a16:creationId xmlns:a16="http://schemas.microsoft.com/office/drawing/2014/main" id="{826EF7A0-043E-4C5C-9CC4-6C9510CCA5FA}"/>
            </a:ext>
          </a:extLst>
        </xdr:cNvPr>
        <xdr:cNvSpPr/>
      </xdr:nvSpPr>
      <xdr:spPr>
        <a:xfrm rot="10800000">
          <a:off x="14088917" y="4128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76</xdr:row>
      <xdr:rowOff>196272</xdr:rowOff>
    </xdr:from>
    <xdr:to>
      <xdr:col>10</xdr:col>
      <xdr:colOff>2320636</xdr:colOff>
      <xdr:row>76</xdr:row>
      <xdr:rowOff>346363</xdr:rowOff>
    </xdr:to>
    <xdr:sp macro="" textlink="">
      <xdr:nvSpPr>
        <xdr:cNvPr id="1350" name="Isosceles Triangle 1349">
          <a:extLst>
            <a:ext uri="{FF2B5EF4-FFF2-40B4-BE49-F238E27FC236}">
              <a16:creationId xmlns:a16="http://schemas.microsoft.com/office/drawing/2014/main" id="{ED519103-B670-4746-A6A4-518EDD47864D}"/>
            </a:ext>
          </a:extLst>
        </xdr:cNvPr>
        <xdr:cNvSpPr/>
      </xdr:nvSpPr>
      <xdr:spPr>
        <a:xfrm rot="10800000">
          <a:off x="14088917" y="4128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76</xdr:row>
      <xdr:rowOff>196272</xdr:rowOff>
    </xdr:from>
    <xdr:to>
      <xdr:col>10</xdr:col>
      <xdr:colOff>2320636</xdr:colOff>
      <xdr:row>76</xdr:row>
      <xdr:rowOff>346363</xdr:rowOff>
    </xdr:to>
    <xdr:sp macro="" textlink="">
      <xdr:nvSpPr>
        <xdr:cNvPr id="1351" name="Isosceles Triangle 1350">
          <a:extLst>
            <a:ext uri="{FF2B5EF4-FFF2-40B4-BE49-F238E27FC236}">
              <a16:creationId xmlns:a16="http://schemas.microsoft.com/office/drawing/2014/main" id="{CD5594E7-AB6A-4B72-A152-F574BF7278B5}"/>
            </a:ext>
          </a:extLst>
        </xdr:cNvPr>
        <xdr:cNvSpPr/>
      </xdr:nvSpPr>
      <xdr:spPr>
        <a:xfrm rot="10800000">
          <a:off x="14088917" y="4128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76</xdr:row>
      <xdr:rowOff>196272</xdr:rowOff>
    </xdr:from>
    <xdr:to>
      <xdr:col>10</xdr:col>
      <xdr:colOff>2320636</xdr:colOff>
      <xdr:row>76</xdr:row>
      <xdr:rowOff>346363</xdr:rowOff>
    </xdr:to>
    <xdr:sp macro="" textlink="">
      <xdr:nvSpPr>
        <xdr:cNvPr id="1352" name="Isosceles Triangle 1351">
          <a:extLst>
            <a:ext uri="{FF2B5EF4-FFF2-40B4-BE49-F238E27FC236}">
              <a16:creationId xmlns:a16="http://schemas.microsoft.com/office/drawing/2014/main" id="{95590F6A-BC98-495D-AE10-F419905E2747}"/>
            </a:ext>
          </a:extLst>
        </xdr:cNvPr>
        <xdr:cNvSpPr/>
      </xdr:nvSpPr>
      <xdr:spPr>
        <a:xfrm rot="10800000">
          <a:off x="14088917" y="41280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1353" name="Isosceles Triangle 1352">
          <a:extLst>
            <a:ext uri="{FF2B5EF4-FFF2-40B4-BE49-F238E27FC236}">
              <a16:creationId xmlns:a16="http://schemas.microsoft.com/office/drawing/2014/main" id="{E23C3593-41C1-4EC9-9C9B-0DFA90E5AF64}"/>
            </a:ext>
          </a:extLst>
        </xdr:cNvPr>
        <xdr:cNvSpPr/>
      </xdr:nvSpPr>
      <xdr:spPr>
        <a:xfrm rot="10800000">
          <a:off x="140889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99</xdr:row>
      <xdr:rowOff>196272</xdr:rowOff>
    </xdr:from>
    <xdr:to>
      <xdr:col>10</xdr:col>
      <xdr:colOff>2320636</xdr:colOff>
      <xdr:row>99</xdr:row>
      <xdr:rowOff>346363</xdr:rowOff>
    </xdr:to>
    <xdr:sp macro="" textlink="">
      <xdr:nvSpPr>
        <xdr:cNvPr id="1354" name="Isosceles Triangle 1353">
          <a:extLst>
            <a:ext uri="{FF2B5EF4-FFF2-40B4-BE49-F238E27FC236}">
              <a16:creationId xmlns:a16="http://schemas.microsoft.com/office/drawing/2014/main" id="{0A605E8E-0B57-46CD-99A2-F94461FD01C1}"/>
            </a:ext>
          </a:extLst>
        </xdr:cNvPr>
        <xdr:cNvSpPr/>
      </xdr:nvSpPr>
      <xdr:spPr>
        <a:xfrm rot="10800000">
          <a:off x="14088917" y="5613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99</xdr:row>
      <xdr:rowOff>196272</xdr:rowOff>
    </xdr:from>
    <xdr:to>
      <xdr:col>10</xdr:col>
      <xdr:colOff>2320636</xdr:colOff>
      <xdr:row>99</xdr:row>
      <xdr:rowOff>346363</xdr:rowOff>
    </xdr:to>
    <xdr:sp macro="" textlink="">
      <xdr:nvSpPr>
        <xdr:cNvPr id="1355" name="Isosceles Triangle 1354">
          <a:extLst>
            <a:ext uri="{FF2B5EF4-FFF2-40B4-BE49-F238E27FC236}">
              <a16:creationId xmlns:a16="http://schemas.microsoft.com/office/drawing/2014/main" id="{837D355B-9617-40AC-A652-D927FE31B2A3}"/>
            </a:ext>
          </a:extLst>
        </xdr:cNvPr>
        <xdr:cNvSpPr/>
      </xdr:nvSpPr>
      <xdr:spPr>
        <a:xfrm rot="10800000">
          <a:off x="14088917" y="5499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99</xdr:row>
      <xdr:rowOff>196272</xdr:rowOff>
    </xdr:from>
    <xdr:to>
      <xdr:col>10</xdr:col>
      <xdr:colOff>2320636</xdr:colOff>
      <xdr:row>99</xdr:row>
      <xdr:rowOff>346363</xdr:rowOff>
    </xdr:to>
    <xdr:sp macro="" textlink="">
      <xdr:nvSpPr>
        <xdr:cNvPr id="1356" name="Isosceles Triangle 1355">
          <a:extLst>
            <a:ext uri="{FF2B5EF4-FFF2-40B4-BE49-F238E27FC236}">
              <a16:creationId xmlns:a16="http://schemas.microsoft.com/office/drawing/2014/main" id="{1CEC2C11-34E2-49A0-A30F-1BC71240787E}"/>
            </a:ext>
          </a:extLst>
        </xdr:cNvPr>
        <xdr:cNvSpPr/>
      </xdr:nvSpPr>
      <xdr:spPr>
        <a:xfrm rot="10800000">
          <a:off x="14088917" y="5499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99</xdr:row>
      <xdr:rowOff>196272</xdr:rowOff>
    </xdr:from>
    <xdr:to>
      <xdr:col>10</xdr:col>
      <xdr:colOff>2320636</xdr:colOff>
      <xdr:row>99</xdr:row>
      <xdr:rowOff>346363</xdr:rowOff>
    </xdr:to>
    <xdr:sp macro="" textlink="">
      <xdr:nvSpPr>
        <xdr:cNvPr id="1357" name="Isosceles Triangle 1356">
          <a:extLst>
            <a:ext uri="{FF2B5EF4-FFF2-40B4-BE49-F238E27FC236}">
              <a16:creationId xmlns:a16="http://schemas.microsoft.com/office/drawing/2014/main" id="{735FCF06-26AC-41B9-8D7F-C33CEB7799ED}"/>
            </a:ext>
          </a:extLst>
        </xdr:cNvPr>
        <xdr:cNvSpPr/>
      </xdr:nvSpPr>
      <xdr:spPr>
        <a:xfrm rot="10800000">
          <a:off x="14088917" y="5499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99</xdr:row>
      <xdr:rowOff>196272</xdr:rowOff>
    </xdr:from>
    <xdr:to>
      <xdr:col>10</xdr:col>
      <xdr:colOff>2320636</xdr:colOff>
      <xdr:row>99</xdr:row>
      <xdr:rowOff>346363</xdr:rowOff>
    </xdr:to>
    <xdr:sp macro="" textlink="">
      <xdr:nvSpPr>
        <xdr:cNvPr id="1358" name="Isosceles Triangle 1357">
          <a:extLst>
            <a:ext uri="{FF2B5EF4-FFF2-40B4-BE49-F238E27FC236}">
              <a16:creationId xmlns:a16="http://schemas.microsoft.com/office/drawing/2014/main" id="{0DF7491F-F644-42CA-86B2-8E217E4D9241}"/>
            </a:ext>
          </a:extLst>
        </xdr:cNvPr>
        <xdr:cNvSpPr/>
      </xdr:nvSpPr>
      <xdr:spPr>
        <a:xfrm rot="10800000">
          <a:off x="14088917" y="5499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1359" name="Isosceles Triangle 1358">
          <a:extLst>
            <a:ext uri="{FF2B5EF4-FFF2-40B4-BE49-F238E27FC236}">
              <a16:creationId xmlns:a16="http://schemas.microsoft.com/office/drawing/2014/main" id="{C04D9704-68C2-45D1-A9F1-1E83070F87FA}"/>
            </a:ext>
          </a:extLst>
        </xdr:cNvPr>
        <xdr:cNvSpPr/>
      </xdr:nvSpPr>
      <xdr:spPr>
        <a:xfrm rot="10800000">
          <a:off x="14088917" y="5442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1360" name="Isosceles Triangle 1359">
          <a:extLst>
            <a:ext uri="{FF2B5EF4-FFF2-40B4-BE49-F238E27FC236}">
              <a16:creationId xmlns:a16="http://schemas.microsoft.com/office/drawing/2014/main" id="{560770EA-C097-4121-BBC3-06528A36FE4A}"/>
            </a:ext>
          </a:extLst>
        </xdr:cNvPr>
        <xdr:cNvSpPr/>
      </xdr:nvSpPr>
      <xdr:spPr>
        <a:xfrm rot="10800000">
          <a:off x="14088917" y="5442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97</xdr:row>
      <xdr:rowOff>196272</xdr:rowOff>
    </xdr:from>
    <xdr:to>
      <xdr:col>10</xdr:col>
      <xdr:colOff>2320636</xdr:colOff>
      <xdr:row>97</xdr:row>
      <xdr:rowOff>346363</xdr:rowOff>
    </xdr:to>
    <xdr:sp macro="" textlink="">
      <xdr:nvSpPr>
        <xdr:cNvPr id="1373" name="Isosceles Triangle 1372">
          <a:extLst>
            <a:ext uri="{FF2B5EF4-FFF2-40B4-BE49-F238E27FC236}">
              <a16:creationId xmlns:a16="http://schemas.microsoft.com/office/drawing/2014/main" id="{E86D3046-01BA-4766-B62A-C04985241FAE}"/>
            </a:ext>
          </a:extLst>
        </xdr:cNvPr>
        <xdr:cNvSpPr/>
      </xdr:nvSpPr>
      <xdr:spPr>
        <a:xfrm rot="10800000">
          <a:off x="140889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97</xdr:row>
      <xdr:rowOff>196272</xdr:rowOff>
    </xdr:from>
    <xdr:to>
      <xdr:col>10</xdr:col>
      <xdr:colOff>2320636</xdr:colOff>
      <xdr:row>97</xdr:row>
      <xdr:rowOff>346363</xdr:rowOff>
    </xdr:to>
    <xdr:sp macro="" textlink="">
      <xdr:nvSpPr>
        <xdr:cNvPr id="1374" name="Isosceles Triangle 1373">
          <a:extLst>
            <a:ext uri="{FF2B5EF4-FFF2-40B4-BE49-F238E27FC236}">
              <a16:creationId xmlns:a16="http://schemas.microsoft.com/office/drawing/2014/main" id="{2F3137F1-C76B-446D-BAE2-48876629A136}"/>
            </a:ext>
          </a:extLst>
        </xdr:cNvPr>
        <xdr:cNvSpPr/>
      </xdr:nvSpPr>
      <xdr:spPr>
        <a:xfrm rot="10800000">
          <a:off x="140889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97</xdr:row>
      <xdr:rowOff>196272</xdr:rowOff>
    </xdr:from>
    <xdr:to>
      <xdr:col>10</xdr:col>
      <xdr:colOff>2320636</xdr:colOff>
      <xdr:row>97</xdr:row>
      <xdr:rowOff>346363</xdr:rowOff>
    </xdr:to>
    <xdr:sp macro="" textlink="">
      <xdr:nvSpPr>
        <xdr:cNvPr id="1375" name="Isosceles Triangle 1374">
          <a:extLst>
            <a:ext uri="{FF2B5EF4-FFF2-40B4-BE49-F238E27FC236}">
              <a16:creationId xmlns:a16="http://schemas.microsoft.com/office/drawing/2014/main" id="{146493A9-FBB4-4BA8-BD40-ABEFF8E42066}"/>
            </a:ext>
          </a:extLst>
        </xdr:cNvPr>
        <xdr:cNvSpPr/>
      </xdr:nvSpPr>
      <xdr:spPr>
        <a:xfrm rot="10800000">
          <a:off x="140889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97</xdr:row>
      <xdr:rowOff>196272</xdr:rowOff>
    </xdr:from>
    <xdr:to>
      <xdr:col>10</xdr:col>
      <xdr:colOff>2320636</xdr:colOff>
      <xdr:row>97</xdr:row>
      <xdr:rowOff>346363</xdr:rowOff>
    </xdr:to>
    <xdr:sp macro="" textlink="">
      <xdr:nvSpPr>
        <xdr:cNvPr id="1376" name="Isosceles Triangle 1375">
          <a:extLst>
            <a:ext uri="{FF2B5EF4-FFF2-40B4-BE49-F238E27FC236}">
              <a16:creationId xmlns:a16="http://schemas.microsoft.com/office/drawing/2014/main" id="{17A1E7C7-CCAE-4309-8311-7F7D9361149D}"/>
            </a:ext>
          </a:extLst>
        </xdr:cNvPr>
        <xdr:cNvSpPr/>
      </xdr:nvSpPr>
      <xdr:spPr>
        <a:xfrm rot="10800000">
          <a:off x="140889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97</xdr:row>
      <xdr:rowOff>196272</xdr:rowOff>
    </xdr:from>
    <xdr:to>
      <xdr:col>10</xdr:col>
      <xdr:colOff>2320636</xdr:colOff>
      <xdr:row>97</xdr:row>
      <xdr:rowOff>346363</xdr:rowOff>
    </xdr:to>
    <xdr:sp macro="" textlink="">
      <xdr:nvSpPr>
        <xdr:cNvPr id="1377" name="Isosceles Triangle 1376">
          <a:extLst>
            <a:ext uri="{FF2B5EF4-FFF2-40B4-BE49-F238E27FC236}">
              <a16:creationId xmlns:a16="http://schemas.microsoft.com/office/drawing/2014/main" id="{896539FD-B60A-4DE1-ACA0-AEF475FDC938}"/>
            </a:ext>
          </a:extLst>
        </xdr:cNvPr>
        <xdr:cNvSpPr/>
      </xdr:nvSpPr>
      <xdr:spPr>
        <a:xfrm rot="10800000">
          <a:off x="140889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97</xdr:row>
      <xdr:rowOff>196272</xdr:rowOff>
    </xdr:from>
    <xdr:to>
      <xdr:col>10</xdr:col>
      <xdr:colOff>2320636</xdr:colOff>
      <xdr:row>97</xdr:row>
      <xdr:rowOff>346363</xdr:rowOff>
    </xdr:to>
    <xdr:sp macro="" textlink="">
      <xdr:nvSpPr>
        <xdr:cNvPr id="1378" name="Isosceles Triangle 1377">
          <a:extLst>
            <a:ext uri="{FF2B5EF4-FFF2-40B4-BE49-F238E27FC236}">
              <a16:creationId xmlns:a16="http://schemas.microsoft.com/office/drawing/2014/main" id="{9AB1ACAD-51E4-45CA-818E-CD0B37A6B0A2}"/>
            </a:ext>
          </a:extLst>
        </xdr:cNvPr>
        <xdr:cNvSpPr/>
      </xdr:nvSpPr>
      <xdr:spPr>
        <a:xfrm rot="10800000">
          <a:off x="14088917" y="55568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379" name="Isosceles Triangle 1378">
          <a:extLst>
            <a:ext uri="{FF2B5EF4-FFF2-40B4-BE49-F238E27FC236}">
              <a16:creationId xmlns:a16="http://schemas.microsoft.com/office/drawing/2014/main" id="{D97F8259-56D6-4E8C-8767-6A686C494511}"/>
            </a:ext>
          </a:extLst>
        </xdr:cNvPr>
        <xdr:cNvSpPr/>
      </xdr:nvSpPr>
      <xdr:spPr>
        <a:xfrm rot="10800000">
          <a:off x="14088917" y="5499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380" name="Isosceles Triangle 1379">
          <a:extLst>
            <a:ext uri="{FF2B5EF4-FFF2-40B4-BE49-F238E27FC236}">
              <a16:creationId xmlns:a16="http://schemas.microsoft.com/office/drawing/2014/main" id="{7360AD63-FB40-4E2C-8D38-C933D4CAA396}"/>
            </a:ext>
          </a:extLst>
        </xdr:cNvPr>
        <xdr:cNvSpPr/>
      </xdr:nvSpPr>
      <xdr:spPr>
        <a:xfrm rot="10800000">
          <a:off x="14088917" y="5499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381" name="Isosceles Triangle 1380">
          <a:extLst>
            <a:ext uri="{FF2B5EF4-FFF2-40B4-BE49-F238E27FC236}">
              <a16:creationId xmlns:a16="http://schemas.microsoft.com/office/drawing/2014/main" id="{E2C3CD58-2433-4C6E-A4A9-591110626B83}"/>
            </a:ext>
          </a:extLst>
        </xdr:cNvPr>
        <xdr:cNvSpPr/>
      </xdr:nvSpPr>
      <xdr:spPr>
        <a:xfrm rot="10800000">
          <a:off x="14088917" y="5499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382" name="Isosceles Triangle 1381">
          <a:extLst>
            <a:ext uri="{FF2B5EF4-FFF2-40B4-BE49-F238E27FC236}">
              <a16:creationId xmlns:a16="http://schemas.microsoft.com/office/drawing/2014/main" id="{5DB15356-AC3D-4612-A6B4-75F53EB72CCD}"/>
            </a:ext>
          </a:extLst>
        </xdr:cNvPr>
        <xdr:cNvSpPr/>
      </xdr:nvSpPr>
      <xdr:spPr>
        <a:xfrm rot="10800000">
          <a:off x="14088917" y="5499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383" name="Isosceles Triangle 1382">
          <a:extLst>
            <a:ext uri="{FF2B5EF4-FFF2-40B4-BE49-F238E27FC236}">
              <a16:creationId xmlns:a16="http://schemas.microsoft.com/office/drawing/2014/main" id="{4F608C3D-699F-487B-A2E2-CDC15EE55D76}"/>
            </a:ext>
          </a:extLst>
        </xdr:cNvPr>
        <xdr:cNvSpPr/>
      </xdr:nvSpPr>
      <xdr:spPr>
        <a:xfrm rot="10800000">
          <a:off x="14088917" y="5499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384" name="Isosceles Triangle 1383">
          <a:extLst>
            <a:ext uri="{FF2B5EF4-FFF2-40B4-BE49-F238E27FC236}">
              <a16:creationId xmlns:a16="http://schemas.microsoft.com/office/drawing/2014/main" id="{2B1295BC-AF2F-44BD-BB41-9E4FD42EF58D}"/>
            </a:ext>
          </a:extLst>
        </xdr:cNvPr>
        <xdr:cNvSpPr/>
      </xdr:nvSpPr>
      <xdr:spPr>
        <a:xfrm rot="10800000">
          <a:off x="14088917" y="54996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33</xdr:row>
      <xdr:rowOff>196272</xdr:rowOff>
    </xdr:from>
    <xdr:to>
      <xdr:col>8</xdr:col>
      <xdr:colOff>2320636</xdr:colOff>
      <xdr:row>33</xdr:row>
      <xdr:rowOff>346363</xdr:rowOff>
    </xdr:to>
    <xdr:sp macro="" textlink="">
      <xdr:nvSpPr>
        <xdr:cNvPr id="1075" name="Isosceles Triangle 1074">
          <a:extLst>
            <a:ext uri="{FF2B5EF4-FFF2-40B4-BE49-F238E27FC236}">
              <a16:creationId xmlns:a16="http://schemas.microsoft.com/office/drawing/2014/main" id="{188389BE-B368-41D4-9C24-34BBF07CC53B}"/>
            </a:ext>
          </a:extLst>
        </xdr:cNvPr>
        <xdr:cNvSpPr/>
      </xdr:nvSpPr>
      <xdr:spPr>
        <a:xfrm rot="10800000">
          <a:off x="10621817" y="17277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33</xdr:row>
      <xdr:rowOff>196272</xdr:rowOff>
    </xdr:from>
    <xdr:to>
      <xdr:col>8</xdr:col>
      <xdr:colOff>2320636</xdr:colOff>
      <xdr:row>33</xdr:row>
      <xdr:rowOff>346363</xdr:rowOff>
    </xdr:to>
    <xdr:sp macro="" textlink="">
      <xdr:nvSpPr>
        <xdr:cNvPr id="1076" name="Isosceles Triangle 1075">
          <a:extLst>
            <a:ext uri="{FF2B5EF4-FFF2-40B4-BE49-F238E27FC236}">
              <a16:creationId xmlns:a16="http://schemas.microsoft.com/office/drawing/2014/main" id="{0EED042B-F4E0-4742-9613-04DF053E7692}"/>
            </a:ext>
          </a:extLst>
        </xdr:cNvPr>
        <xdr:cNvSpPr/>
      </xdr:nvSpPr>
      <xdr:spPr>
        <a:xfrm rot="10800000">
          <a:off x="10621817" y="17277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32</xdr:row>
      <xdr:rowOff>196272</xdr:rowOff>
    </xdr:from>
    <xdr:to>
      <xdr:col>8</xdr:col>
      <xdr:colOff>2320636</xdr:colOff>
      <xdr:row>32</xdr:row>
      <xdr:rowOff>346363</xdr:rowOff>
    </xdr:to>
    <xdr:sp macro="" textlink="">
      <xdr:nvSpPr>
        <xdr:cNvPr id="1077" name="Isosceles Triangle 1076">
          <a:extLst>
            <a:ext uri="{FF2B5EF4-FFF2-40B4-BE49-F238E27FC236}">
              <a16:creationId xmlns:a16="http://schemas.microsoft.com/office/drawing/2014/main" id="{5F83347E-9100-433B-87E5-ADB6BEEDB65F}"/>
            </a:ext>
          </a:extLst>
        </xdr:cNvPr>
        <xdr:cNvSpPr/>
      </xdr:nvSpPr>
      <xdr:spPr>
        <a:xfrm rot="10800000">
          <a:off x="10621817" y="1670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32</xdr:row>
      <xdr:rowOff>196272</xdr:rowOff>
    </xdr:from>
    <xdr:to>
      <xdr:col>8</xdr:col>
      <xdr:colOff>2320636</xdr:colOff>
      <xdr:row>32</xdr:row>
      <xdr:rowOff>346363</xdr:rowOff>
    </xdr:to>
    <xdr:sp macro="" textlink="">
      <xdr:nvSpPr>
        <xdr:cNvPr id="1078" name="Isosceles Triangle 1077">
          <a:extLst>
            <a:ext uri="{FF2B5EF4-FFF2-40B4-BE49-F238E27FC236}">
              <a16:creationId xmlns:a16="http://schemas.microsoft.com/office/drawing/2014/main" id="{533C5E5B-DAA1-4EB8-8512-F5AD024AB596}"/>
            </a:ext>
          </a:extLst>
        </xdr:cNvPr>
        <xdr:cNvSpPr/>
      </xdr:nvSpPr>
      <xdr:spPr>
        <a:xfrm rot="10800000">
          <a:off x="10621817" y="1784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32</xdr:row>
      <xdr:rowOff>196272</xdr:rowOff>
    </xdr:from>
    <xdr:to>
      <xdr:col>8</xdr:col>
      <xdr:colOff>2320636</xdr:colOff>
      <xdr:row>32</xdr:row>
      <xdr:rowOff>346363</xdr:rowOff>
    </xdr:to>
    <xdr:sp macro="" textlink="">
      <xdr:nvSpPr>
        <xdr:cNvPr id="1079" name="Isosceles Triangle 1078">
          <a:extLst>
            <a:ext uri="{FF2B5EF4-FFF2-40B4-BE49-F238E27FC236}">
              <a16:creationId xmlns:a16="http://schemas.microsoft.com/office/drawing/2014/main" id="{77AA35A0-1101-48B5-84B3-A60FB0F8E42E}"/>
            </a:ext>
          </a:extLst>
        </xdr:cNvPr>
        <xdr:cNvSpPr/>
      </xdr:nvSpPr>
      <xdr:spPr>
        <a:xfrm rot="10800000">
          <a:off x="10621817" y="1784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32</xdr:row>
      <xdr:rowOff>196272</xdr:rowOff>
    </xdr:from>
    <xdr:to>
      <xdr:col>8</xdr:col>
      <xdr:colOff>2320636</xdr:colOff>
      <xdr:row>32</xdr:row>
      <xdr:rowOff>346363</xdr:rowOff>
    </xdr:to>
    <xdr:sp macro="" textlink="">
      <xdr:nvSpPr>
        <xdr:cNvPr id="1080" name="Isosceles Triangle 1079">
          <a:extLst>
            <a:ext uri="{FF2B5EF4-FFF2-40B4-BE49-F238E27FC236}">
              <a16:creationId xmlns:a16="http://schemas.microsoft.com/office/drawing/2014/main" id="{61F1E7B8-8CFB-4F92-A256-8E1F692B2B38}"/>
            </a:ext>
          </a:extLst>
        </xdr:cNvPr>
        <xdr:cNvSpPr/>
      </xdr:nvSpPr>
      <xdr:spPr>
        <a:xfrm rot="10800000">
          <a:off x="10621817" y="1784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32</xdr:row>
      <xdr:rowOff>196272</xdr:rowOff>
    </xdr:from>
    <xdr:to>
      <xdr:col>8</xdr:col>
      <xdr:colOff>2320636</xdr:colOff>
      <xdr:row>32</xdr:row>
      <xdr:rowOff>346363</xdr:rowOff>
    </xdr:to>
    <xdr:sp macro="" textlink="">
      <xdr:nvSpPr>
        <xdr:cNvPr id="1081" name="Isosceles Triangle 1080">
          <a:extLst>
            <a:ext uri="{FF2B5EF4-FFF2-40B4-BE49-F238E27FC236}">
              <a16:creationId xmlns:a16="http://schemas.microsoft.com/office/drawing/2014/main" id="{ADE6FCA6-CC33-4123-8707-445272643594}"/>
            </a:ext>
          </a:extLst>
        </xdr:cNvPr>
        <xdr:cNvSpPr/>
      </xdr:nvSpPr>
      <xdr:spPr>
        <a:xfrm rot="10800000">
          <a:off x="10621817" y="17849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33</xdr:row>
      <xdr:rowOff>196272</xdr:rowOff>
    </xdr:from>
    <xdr:to>
      <xdr:col>8</xdr:col>
      <xdr:colOff>2320636</xdr:colOff>
      <xdr:row>33</xdr:row>
      <xdr:rowOff>346363</xdr:rowOff>
    </xdr:to>
    <xdr:sp macro="" textlink="">
      <xdr:nvSpPr>
        <xdr:cNvPr id="1082" name="Isosceles Triangle 1081">
          <a:extLst>
            <a:ext uri="{FF2B5EF4-FFF2-40B4-BE49-F238E27FC236}">
              <a16:creationId xmlns:a16="http://schemas.microsoft.com/office/drawing/2014/main" id="{4AAF6034-54A2-4A1E-9FB5-2AAE8D2FB96F}"/>
            </a:ext>
          </a:extLst>
        </xdr:cNvPr>
        <xdr:cNvSpPr/>
      </xdr:nvSpPr>
      <xdr:spPr>
        <a:xfrm rot="10800000">
          <a:off x="10621817" y="1670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100</xdr:row>
      <xdr:rowOff>196272</xdr:rowOff>
    </xdr:from>
    <xdr:to>
      <xdr:col>8</xdr:col>
      <xdr:colOff>2320636</xdr:colOff>
      <xdr:row>100</xdr:row>
      <xdr:rowOff>346363</xdr:rowOff>
    </xdr:to>
    <xdr:sp macro="" textlink="">
      <xdr:nvSpPr>
        <xdr:cNvPr id="1083" name="Isosceles Triangle 1082">
          <a:extLst>
            <a:ext uri="{FF2B5EF4-FFF2-40B4-BE49-F238E27FC236}">
              <a16:creationId xmlns:a16="http://schemas.microsoft.com/office/drawing/2014/main" id="{582C8E6F-4482-4562-9168-BFE7B7098F0D}"/>
            </a:ext>
          </a:extLst>
        </xdr:cNvPr>
        <xdr:cNvSpPr/>
      </xdr:nvSpPr>
      <xdr:spPr>
        <a:xfrm rot="10800000">
          <a:off x="10621817" y="5671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084" name="Isosceles Triangle 1083">
          <a:extLst>
            <a:ext uri="{FF2B5EF4-FFF2-40B4-BE49-F238E27FC236}">
              <a16:creationId xmlns:a16="http://schemas.microsoft.com/office/drawing/2014/main" id="{B26FF25D-97DC-4617-86A0-5459E42F4D87}"/>
            </a:ext>
          </a:extLst>
        </xdr:cNvPr>
        <xdr:cNvSpPr/>
      </xdr:nvSpPr>
      <xdr:spPr>
        <a:xfrm rot="10800000">
          <a:off x="10621817" y="5671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1085" name="Isosceles Triangle 1084">
          <a:extLst>
            <a:ext uri="{FF2B5EF4-FFF2-40B4-BE49-F238E27FC236}">
              <a16:creationId xmlns:a16="http://schemas.microsoft.com/office/drawing/2014/main" id="{BFFDD55B-00C0-4B1A-8F00-155616340D4D}"/>
            </a:ext>
          </a:extLst>
        </xdr:cNvPr>
        <xdr:cNvSpPr/>
      </xdr:nvSpPr>
      <xdr:spPr>
        <a:xfrm rot="10800000">
          <a:off x="14088917" y="5613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1086" name="Isosceles Triangle 1085">
          <a:extLst>
            <a:ext uri="{FF2B5EF4-FFF2-40B4-BE49-F238E27FC236}">
              <a16:creationId xmlns:a16="http://schemas.microsoft.com/office/drawing/2014/main" id="{46C4A49A-66EC-41BE-8C2E-9642CA50D54C}"/>
            </a:ext>
          </a:extLst>
        </xdr:cNvPr>
        <xdr:cNvSpPr/>
      </xdr:nvSpPr>
      <xdr:spPr>
        <a:xfrm rot="10800000">
          <a:off x="14088917" y="5613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1087" name="Isosceles Triangle 1086">
          <a:extLst>
            <a:ext uri="{FF2B5EF4-FFF2-40B4-BE49-F238E27FC236}">
              <a16:creationId xmlns:a16="http://schemas.microsoft.com/office/drawing/2014/main" id="{87CCE554-624C-4A44-9F5D-B77B8EA31395}"/>
            </a:ext>
          </a:extLst>
        </xdr:cNvPr>
        <xdr:cNvSpPr/>
      </xdr:nvSpPr>
      <xdr:spPr>
        <a:xfrm rot="10800000">
          <a:off x="14088917" y="5613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1216" name="Isosceles Triangle 1215">
          <a:extLst>
            <a:ext uri="{FF2B5EF4-FFF2-40B4-BE49-F238E27FC236}">
              <a16:creationId xmlns:a16="http://schemas.microsoft.com/office/drawing/2014/main" id="{721CA6CC-E272-4E3E-8086-35782C8CE3DA}"/>
            </a:ext>
          </a:extLst>
        </xdr:cNvPr>
        <xdr:cNvSpPr/>
      </xdr:nvSpPr>
      <xdr:spPr>
        <a:xfrm rot="10800000">
          <a:off x="14088917" y="5613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1217" name="Isosceles Triangle 1216">
          <a:extLst>
            <a:ext uri="{FF2B5EF4-FFF2-40B4-BE49-F238E27FC236}">
              <a16:creationId xmlns:a16="http://schemas.microsoft.com/office/drawing/2014/main" id="{05608BC5-5B67-43E3-9F3C-E9ABE730912B}"/>
            </a:ext>
          </a:extLst>
        </xdr:cNvPr>
        <xdr:cNvSpPr/>
      </xdr:nvSpPr>
      <xdr:spPr>
        <a:xfrm rot="10800000">
          <a:off x="14088917" y="5613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1218" name="Isosceles Triangle 1217">
          <a:extLst>
            <a:ext uri="{FF2B5EF4-FFF2-40B4-BE49-F238E27FC236}">
              <a16:creationId xmlns:a16="http://schemas.microsoft.com/office/drawing/2014/main" id="{F61F7466-80C6-4809-B5D6-9C1FACA926F9}"/>
            </a:ext>
          </a:extLst>
        </xdr:cNvPr>
        <xdr:cNvSpPr/>
      </xdr:nvSpPr>
      <xdr:spPr>
        <a:xfrm rot="10800000">
          <a:off x="14088917" y="5613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1219" name="Isosceles Triangle 1218">
          <a:extLst>
            <a:ext uri="{FF2B5EF4-FFF2-40B4-BE49-F238E27FC236}">
              <a16:creationId xmlns:a16="http://schemas.microsoft.com/office/drawing/2014/main" id="{A47F72D2-E1F7-49F5-B327-BCFDDD2CFC04}"/>
            </a:ext>
          </a:extLst>
        </xdr:cNvPr>
        <xdr:cNvSpPr/>
      </xdr:nvSpPr>
      <xdr:spPr>
        <a:xfrm rot="10800000">
          <a:off x="14088917" y="5613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1220" name="Isosceles Triangle 1219">
          <a:extLst>
            <a:ext uri="{FF2B5EF4-FFF2-40B4-BE49-F238E27FC236}">
              <a16:creationId xmlns:a16="http://schemas.microsoft.com/office/drawing/2014/main" id="{B1895F9E-7592-43BD-B63E-19638C326912}"/>
            </a:ext>
          </a:extLst>
        </xdr:cNvPr>
        <xdr:cNvSpPr/>
      </xdr:nvSpPr>
      <xdr:spPr>
        <a:xfrm rot="10800000">
          <a:off x="14088917" y="56139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123</xdr:row>
      <xdr:rowOff>196272</xdr:rowOff>
    </xdr:from>
    <xdr:to>
      <xdr:col>10</xdr:col>
      <xdr:colOff>2320636</xdr:colOff>
      <xdr:row>123</xdr:row>
      <xdr:rowOff>346363</xdr:rowOff>
    </xdr:to>
    <xdr:sp macro="" textlink="">
      <xdr:nvSpPr>
        <xdr:cNvPr id="1221" name="Isosceles Triangle 1220">
          <a:extLst>
            <a:ext uri="{FF2B5EF4-FFF2-40B4-BE49-F238E27FC236}">
              <a16:creationId xmlns:a16="http://schemas.microsoft.com/office/drawing/2014/main" id="{4F6484BD-AFA2-456C-A7F2-ADB8DAC740EE}"/>
            </a:ext>
          </a:extLst>
        </xdr:cNvPr>
        <xdr:cNvSpPr/>
      </xdr:nvSpPr>
      <xdr:spPr>
        <a:xfrm rot="10800000">
          <a:off x="14088917" y="6871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123</xdr:row>
      <xdr:rowOff>196272</xdr:rowOff>
    </xdr:from>
    <xdr:to>
      <xdr:col>10</xdr:col>
      <xdr:colOff>2320636</xdr:colOff>
      <xdr:row>123</xdr:row>
      <xdr:rowOff>346363</xdr:rowOff>
    </xdr:to>
    <xdr:sp macro="" textlink="">
      <xdr:nvSpPr>
        <xdr:cNvPr id="1222" name="Isosceles Triangle 1221">
          <a:extLst>
            <a:ext uri="{FF2B5EF4-FFF2-40B4-BE49-F238E27FC236}">
              <a16:creationId xmlns:a16="http://schemas.microsoft.com/office/drawing/2014/main" id="{635BBE37-C176-40A1-BBE1-2875E1271611}"/>
            </a:ext>
          </a:extLst>
        </xdr:cNvPr>
        <xdr:cNvSpPr/>
      </xdr:nvSpPr>
      <xdr:spPr>
        <a:xfrm rot="10800000">
          <a:off x="14088917" y="68712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87</xdr:row>
      <xdr:rowOff>196272</xdr:rowOff>
    </xdr:from>
    <xdr:to>
      <xdr:col>10</xdr:col>
      <xdr:colOff>2320636</xdr:colOff>
      <xdr:row>87</xdr:row>
      <xdr:rowOff>346363</xdr:rowOff>
    </xdr:to>
    <xdr:sp macro="" textlink="">
      <xdr:nvSpPr>
        <xdr:cNvPr id="1223" name="Isosceles Triangle 1222">
          <a:extLst>
            <a:ext uri="{FF2B5EF4-FFF2-40B4-BE49-F238E27FC236}">
              <a16:creationId xmlns:a16="http://schemas.microsoft.com/office/drawing/2014/main" id="{EF87CF6F-DCA4-4647-94FB-A76E1EE6913F}"/>
            </a:ext>
          </a:extLst>
        </xdr:cNvPr>
        <xdr:cNvSpPr/>
      </xdr:nvSpPr>
      <xdr:spPr>
        <a:xfrm rot="10800000">
          <a:off x="14088917" y="4813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87</xdr:row>
      <xdr:rowOff>196272</xdr:rowOff>
    </xdr:from>
    <xdr:to>
      <xdr:col>10</xdr:col>
      <xdr:colOff>2320636</xdr:colOff>
      <xdr:row>87</xdr:row>
      <xdr:rowOff>346363</xdr:rowOff>
    </xdr:to>
    <xdr:sp macro="" textlink="">
      <xdr:nvSpPr>
        <xdr:cNvPr id="1224" name="Isosceles Triangle 1223">
          <a:extLst>
            <a:ext uri="{FF2B5EF4-FFF2-40B4-BE49-F238E27FC236}">
              <a16:creationId xmlns:a16="http://schemas.microsoft.com/office/drawing/2014/main" id="{E63FA84A-D47C-4C28-8F02-912F80A18FB4}"/>
            </a:ext>
          </a:extLst>
        </xdr:cNvPr>
        <xdr:cNvSpPr/>
      </xdr:nvSpPr>
      <xdr:spPr>
        <a:xfrm rot="10800000">
          <a:off x="14088917" y="4813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87</xdr:row>
      <xdr:rowOff>196272</xdr:rowOff>
    </xdr:from>
    <xdr:to>
      <xdr:col>10</xdr:col>
      <xdr:colOff>2320636</xdr:colOff>
      <xdr:row>87</xdr:row>
      <xdr:rowOff>346363</xdr:rowOff>
    </xdr:to>
    <xdr:sp macro="" textlink="">
      <xdr:nvSpPr>
        <xdr:cNvPr id="1225" name="Isosceles Triangle 1224">
          <a:extLst>
            <a:ext uri="{FF2B5EF4-FFF2-40B4-BE49-F238E27FC236}">
              <a16:creationId xmlns:a16="http://schemas.microsoft.com/office/drawing/2014/main" id="{59D1E258-1A0A-4BC7-BF61-210AE8F5B422}"/>
            </a:ext>
          </a:extLst>
        </xdr:cNvPr>
        <xdr:cNvSpPr/>
      </xdr:nvSpPr>
      <xdr:spPr>
        <a:xfrm rot="10800000">
          <a:off x="14088917" y="4813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87</xdr:row>
      <xdr:rowOff>196272</xdr:rowOff>
    </xdr:from>
    <xdr:to>
      <xdr:col>10</xdr:col>
      <xdr:colOff>2320636</xdr:colOff>
      <xdr:row>87</xdr:row>
      <xdr:rowOff>346363</xdr:rowOff>
    </xdr:to>
    <xdr:sp macro="" textlink="">
      <xdr:nvSpPr>
        <xdr:cNvPr id="1226" name="Isosceles Triangle 1225">
          <a:extLst>
            <a:ext uri="{FF2B5EF4-FFF2-40B4-BE49-F238E27FC236}">
              <a16:creationId xmlns:a16="http://schemas.microsoft.com/office/drawing/2014/main" id="{0DD618D5-AA86-4F01-9E57-4873EC63EF0C}"/>
            </a:ext>
          </a:extLst>
        </xdr:cNvPr>
        <xdr:cNvSpPr/>
      </xdr:nvSpPr>
      <xdr:spPr>
        <a:xfrm rot="10800000">
          <a:off x="14088917" y="4813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87</xdr:row>
      <xdr:rowOff>196272</xdr:rowOff>
    </xdr:from>
    <xdr:to>
      <xdr:col>10</xdr:col>
      <xdr:colOff>2320636</xdr:colOff>
      <xdr:row>87</xdr:row>
      <xdr:rowOff>346363</xdr:rowOff>
    </xdr:to>
    <xdr:sp macro="" textlink="">
      <xdr:nvSpPr>
        <xdr:cNvPr id="1227" name="Isosceles Triangle 1226">
          <a:extLst>
            <a:ext uri="{FF2B5EF4-FFF2-40B4-BE49-F238E27FC236}">
              <a16:creationId xmlns:a16="http://schemas.microsoft.com/office/drawing/2014/main" id="{ECCCD767-F0CC-4096-ABFA-4098B4724B4A}"/>
            </a:ext>
          </a:extLst>
        </xdr:cNvPr>
        <xdr:cNvSpPr/>
      </xdr:nvSpPr>
      <xdr:spPr>
        <a:xfrm rot="10800000">
          <a:off x="14088917" y="4813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1228" name="Isosceles Triangle 1227">
          <a:extLst>
            <a:ext uri="{FF2B5EF4-FFF2-40B4-BE49-F238E27FC236}">
              <a16:creationId xmlns:a16="http://schemas.microsoft.com/office/drawing/2014/main" id="{AA2F9675-209D-4F8D-8D0C-2882FF8F7C8E}"/>
            </a:ext>
          </a:extLst>
        </xdr:cNvPr>
        <xdr:cNvSpPr/>
      </xdr:nvSpPr>
      <xdr:spPr>
        <a:xfrm rot="10800000">
          <a:off x="14088917" y="3899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1229" name="Isosceles Triangle 1228">
          <a:extLst>
            <a:ext uri="{FF2B5EF4-FFF2-40B4-BE49-F238E27FC236}">
              <a16:creationId xmlns:a16="http://schemas.microsoft.com/office/drawing/2014/main" id="{0B145EDE-9F05-4DFB-A271-264F03668C6B}"/>
            </a:ext>
          </a:extLst>
        </xdr:cNvPr>
        <xdr:cNvSpPr/>
      </xdr:nvSpPr>
      <xdr:spPr>
        <a:xfrm rot="10800000">
          <a:off x="14088917" y="3899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1230" name="Isosceles Triangle 1229">
          <a:extLst>
            <a:ext uri="{FF2B5EF4-FFF2-40B4-BE49-F238E27FC236}">
              <a16:creationId xmlns:a16="http://schemas.microsoft.com/office/drawing/2014/main" id="{AFD5D9B3-FFE2-4630-BBA1-DCB50B23ECD5}"/>
            </a:ext>
          </a:extLst>
        </xdr:cNvPr>
        <xdr:cNvSpPr/>
      </xdr:nvSpPr>
      <xdr:spPr>
        <a:xfrm rot="10800000">
          <a:off x="14088917" y="3899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1231" name="Isosceles Triangle 1230">
          <a:extLst>
            <a:ext uri="{FF2B5EF4-FFF2-40B4-BE49-F238E27FC236}">
              <a16:creationId xmlns:a16="http://schemas.microsoft.com/office/drawing/2014/main" id="{E613E45D-3702-41C0-A469-9650AACD5220}"/>
            </a:ext>
          </a:extLst>
        </xdr:cNvPr>
        <xdr:cNvSpPr/>
      </xdr:nvSpPr>
      <xdr:spPr>
        <a:xfrm rot="10800000">
          <a:off x="14088917" y="3899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1232" name="Isosceles Triangle 1231">
          <a:extLst>
            <a:ext uri="{FF2B5EF4-FFF2-40B4-BE49-F238E27FC236}">
              <a16:creationId xmlns:a16="http://schemas.microsoft.com/office/drawing/2014/main" id="{ABCF90C3-6074-4606-9B33-75C25FCCC8B0}"/>
            </a:ext>
          </a:extLst>
        </xdr:cNvPr>
        <xdr:cNvSpPr/>
      </xdr:nvSpPr>
      <xdr:spPr>
        <a:xfrm rot="10800000">
          <a:off x="14088917" y="3899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1233" name="Isosceles Triangle 1232">
          <a:extLst>
            <a:ext uri="{FF2B5EF4-FFF2-40B4-BE49-F238E27FC236}">
              <a16:creationId xmlns:a16="http://schemas.microsoft.com/office/drawing/2014/main" id="{606147FC-DA19-48F1-90A3-73E58EA6E424}"/>
            </a:ext>
          </a:extLst>
        </xdr:cNvPr>
        <xdr:cNvSpPr/>
      </xdr:nvSpPr>
      <xdr:spPr>
        <a:xfrm rot="10800000">
          <a:off x="14088917" y="3899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67</xdr:row>
      <xdr:rowOff>196272</xdr:rowOff>
    </xdr:from>
    <xdr:to>
      <xdr:col>10</xdr:col>
      <xdr:colOff>2320636</xdr:colOff>
      <xdr:row>67</xdr:row>
      <xdr:rowOff>346363</xdr:rowOff>
    </xdr:to>
    <xdr:sp macro="" textlink="">
      <xdr:nvSpPr>
        <xdr:cNvPr id="1234" name="Isosceles Triangle 1233">
          <a:extLst>
            <a:ext uri="{FF2B5EF4-FFF2-40B4-BE49-F238E27FC236}">
              <a16:creationId xmlns:a16="http://schemas.microsoft.com/office/drawing/2014/main" id="{2449CCCB-F0C9-48FA-815B-FE886EA28CD5}"/>
            </a:ext>
          </a:extLst>
        </xdr:cNvPr>
        <xdr:cNvSpPr/>
      </xdr:nvSpPr>
      <xdr:spPr>
        <a:xfrm rot="10800000">
          <a:off x="14088917" y="3899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1235" name="Isosceles Triangle 1234">
          <a:extLst>
            <a:ext uri="{FF2B5EF4-FFF2-40B4-BE49-F238E27FC236}">
              <a16:creationId xmlns:a16="http://schemas.microsoft.com/office/drawing/2014/main" id="{0FB789E2-6379-4C56-B40C-A8ED8D35CFFC}"/>
            </a:ext>
          </a:extLst>
        </xdr:cNvPr>
        <xdr:cNvSpPr/>
      </xdr:nvSpPr>
      <xdr:spPr>
        <a:xfrm rot="10800000">
          <a:off x="14088917" y="3899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1236" name="Isosceles Triangle 1235">
          <a:extLst>
            <a:ext uri="{FF2B5EF4-FFF2-40B4-BE49-F238E27FC236}">
              <a16:creationId xmlns:a16="http://schemas.microsoft.com/office/drawing/2014/main" id="{37CEFA1F-7C4C-4C18-8298-28661A25A69C}"/>
            </a:ext>
          </a:extLst>
        </xdr:cNvPr>
        <xdr:cNvSpPr/>
      </xdr:nvSpPr>
      <xdr:spPr>
        <a:xfrm rot="10800000">
          <a:off x="14088917" y="3899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1237" name="Isosceles Triangle 1236">
          <a:extLst>
            <a:ext uri="{FF2B5EF4-FFF2-40B4-BE49-F238E27FC236}">
              <a16:creationId xmlns:a16="http://schemas.microsoft.com/office/drawing/2014/main" id="{DBE5319C-DA96-4384-A7B6-8FFD0C11C0A0}"/>
            </a:ext>
          </a:extLst>
        </xdr:cNvPr>
        <xdr:cNvSpPr/>
      </xdr:nvSpPr>
      <xdr:spPr>
        <a:xfrm rot="10800000">
          <a:off x="14088917" y="3899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1238" name="Isosceles Triangle 1237">
          <a:extLst>
            <a:ext uri="{FF2B5EF4-FFF2-40B4-BE49-F238E27FC236}">
              <a16:creationId xmlns:a16="http://schemas.microsoft.com/office/drawing/2014/main" id="{B715AC84-0756-407F-BDC4-C01D91C24026}"/>
            </a:ext>
          </a:extLst>
        </xdr:cNvPr>
        <xdr:cNvSpPr/>
      </xdr:nvSpPr>
      <xdr:spPr>
        <a:xfrm rot="10800000">
          <a:off x="14088917" y="3899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1239" name="Isosceles Triangle 1238">
          <a:extLst>
            <a:ext uri="{FF2B5EF4-FFF2-40B4-BE49-F238E27FC236}">
              <a16:creationId xmlns:a16="http://schemas.microsoft.com/office/drawing/2014/main" id="{51C150D7-8DBA-4832-A13F-FC0D15B22596}"/>
            </a:ext>
          </a:extLst>
        </xdr:cNvPr>
        <xdr:cNvSpPr/>
      </xdr:nvSpPr>
      <xdr:spPr>
        <a:xfrm rot="10800000">
          <a:off x="14088917" y="3899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1240" name="Isosceles Triangle 1239">
          <a:extLst>
            <a:ext uri="{FF2B5EF4-FFF2-40B4-BE49-F238E27FC236}">
              <a16:creationId xmlns:a16="http://schemas.microsoft.com/office/drawing/2014/main" id="{92599424-4B28-4DFB-BC07-937B0F95B1F2}"/>
            </a:ext>
          </a:extLst>
        </xdr:cNvPr>
        <xdr:cNvSpPr/>
      </xdr:nvSpPr>
      <xdr:spPr>
        <a:xfrm rot="10800000">
          <a:off x="14088917" y="3899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1241" name="Isosceles Triangle 1240">
          <a:extLst>
            <a:ext uri="{FF2B5EF4-FFF2-40B4-BE49-F238E27FC236}">
              <a16:creationId xmlns:a16="http://schemas.microsoft.com/office/drawing/2014/main" id="{F894B401-EB0B-4C1B-9D26-3AEB68F5EDBA}"/>
            </a:ext>
          </a:extLst>
        </xdr:cNvPr>
        <xdr:cNvSpPr/>
      </xdr:nvSpPr>
      <xdr:spPr>
        <a:xfrm rot="10800000">
          <a:off x="14088917" y="3899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1242" name="Isosceles Triangle 1241">
          <a:extLst>
            <a:ext uri="{FF2B5EF4-FFF2-40B4-BE49-F238E27FC236}">
              <a16:creationId xmlns:a16="http://schemas.microsoft.com/office/drawing/2014/main" id="{0DB2490A-3F41-4EC6-82AB-741AA6799F89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1243" name="Isosceles Triangle 1242">
          <a:extLst>
            <a:ext uri="{FF2B5EF4-FFF2-40B4-BE49-F238E27FC236}">
              <a16:creationId xmlns:a16="http://schemas.microsoft.com/office/drawing/2014/main" id="{8E5926E6-D3CF-4B02-8191-38E71E7D4E64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1244" name="Isosceles Triangle 1243">
          <a:extLst>
            <a:ext uri="{FF2B5EF4-FFF2-40B4-BE49-F238E27FC236}">
              <a16:creationId xmlns:a16="http://schemas.microsoft.com/office/drawing/2014/main" id="{290D1495-6AF5-45B0-8DD1-B31431A61F1D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1245" name="Isosceles Triangle 1244">
          <a:extLst>
            <a:ext uri="{FF2B5EF4-FFF2-40B4-BE49-F238E27FC236}">
              <a16:creationId xmlns:a16="http://schemas.microsoft.com/office/drawing/2014/main" id="{956E4568-172D-4BF7-86AB-EBC5D3FE691F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46" name="Isosceles Triangle 1245">
          <a:extLst>
            <a:ext uri="{FF2B5EF4-FFF2-40B4-BE49-F238E27FC236}">
              <a16:creationId xmlns:a16="http://schemas.microsoft.com/office/drawing/2014/main" id="{5FD98561-263F-46D2-8B66-721D1409F9B8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47" name="Isosceles Triangle 1246">
          <a:extLst>
            <a:ext uri="{FF2B5EF4-FFF2-40B4-BE49-F238E27FC236}">
              <a16:creationId xmlns:a16="http://schemas.microsoft.com/office/drawing/2014/main" id="{8DF6F211-C51C-417B-B40D-438F8C0191A5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48" name="Isosceles Triangle 1247">
          <a:extLst>
            <a:ext uri="{FF2B5EF4-FFF2-40B4-BE49-F238E27FC236}">
              <a16:creationId xmlns:a16="http://schemas.microsoft.com/office/drawing/2014/main" id="{FF1594C5-A8A1-4160-9CFC-683F9BD9BABA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49" name="Isosceles Triangle 1248">
          <a:extLst>
            <a:ext uri="{FF2B5EF4-FFF2-40B4-BE49-F238E27FC236}">
              <a16:creationId xmlns:a16="http://schemas.microsoft.com/office/drawing/2014/main" id="{31CECEC5-2388-46B2-833D-EF2060AC3458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50" name="Isosceles Triangle 1249">
          <a:extLst>
            <a:ext uri="{FF2B5EF4-FFF2-40B4-BE49-F238E27FC236}">
              <a16:creationId xmlns:a16="http://schemas.microsoft.com/office/drawing/2014/main" id="{413C1BA6-8991-4316-A57D-B092826AB3A9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51" name="Isosceles Triangle 1250">
          <a:extLst>
            <a:ext uri="{FF2B5EF4-FFF2-40B4-BE49-F238E27FC236}">
              <a16:creationId xmlns:a16="http://schemas.microsoft.com/office/drawing/2014/main" id="{9D310E85-0A2E-4E5E-A990-88B08C12F9A0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52" name="Isosceles Triangle 1251">
          <a:extLst>
            <a:ext uri="{FF2B5EF4-FFF2-40B4-BE49-F238E27FC236}">
              <a16:creationId xmlns:a16="http://schemas.microsoft.com/office/drawing/2014/main" id="{80DEF136-CD87-4EAC-B11B-43A49B1BBEBD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53" name="Isosceles Triangle 1252">
          <a:extLst>
            <a:ext uri="{FF2B5EF4-FFF2-40B4-BE49-F238E27FC236}">
              <a16:creationId xmlns:a16="http://schemas.microsoft.com/office/drawing/2014/main" id="{B7BB57F9-A566-4F1D-9895-FEB3B426C5B4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54" name="Isosceles Triangle 1253">
          <a:extLst>
            <a:ext uri="{FF2B5EF4-FFF2-40B4-BE49-F238E27FC236}">
              <a16:creationId xmlns:a16="http://schemas.microsoft.com/office/drawing/2014/main" id="{3F07544F-C2E8-4BA5-8601-1B7DF2CE959D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55" name="Isosceles Triangle 1254">
          <a:extLst>
            <a:ext uri="{FF2B5EF4-FFF2-40B4-BE49-F238E27FC236}">
              <a16:creationId xmlns:a16="http://schemas.microsoft.com/office/drawing/2014/main" id="{7C6B86CC-A546-456F-A2AA-1A84B0514AB6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56" name="Isosceles Triangle 1255">
          <a:extLst>
            <a:ext uri="{FF2B5EF4-FFF2-40B4-BE49-F238E27FC236}">
              <a16:creationId xmlns:a16="http://schemas.microsoft.com/office/drawing/2014/main" id="{FB80EF02-3E22-494A-9166-405379B47C6C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57" name="Isosceles Triangle 1256">
          <a:extLst>
            <a:ext uri="{FF2B5EF4-FFF2-40B4-BE49-F238E27FC236}">
              <a16:creationId xmlns:a16="http://schemas.microsoft.com/office/drawing/2014/main" id="{F104483C-37FB-423F-A5FA-736D9A8AF941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58" name="Isosceles Triangle 1257">
          <a:extLst>
            <a:ext uri="{FF2B5EF4-FFF2-40B4-BE49-F238E27FC236}">
              <a16:creationId xmlns:a16="http://schemas.microsoft.com/office/drawing/2014/main" id="{0B602B13-837C-4DAC-A57F-C160B5EC7746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59" name="Isosceles Triangle 1258">
          <a:extLst>
            <a:ext uri="{FF2B5EF4-FFF2-40B4-BE49-F238E27FC236}">
              <a16:creationId xmlns:a16="http://schemas.microsoft.com/office/drawing/2014/main" id="{AA6F972E-A67C-4CDB-9DD9-B1D8CE3106EF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260" name="Isosceles Triangle 1259">
          <a:extLst>
            <a:ext uri="{FF2B5EF4-FFF2-40B4-BE49-F238E27FC236}">
              <a16:creationId xmlns:a16="http://schemas.microsoft.com/office/drawing/2014/main" id="{F9A2F992-C4E0-456D-98C2-D620C4118E39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314" name="Isosceles Triangle 1313">
          <a:extLst>
            <a:ext uri="{FF2B5EF4-FFF2-40B4-BE49-F238E27FC236}">
              <a16:creationId xmlns:a16="http://schemas.microsoft.com/office/drawing/2014/main" id="{2C018261-A9D8-41E3-9318-94E4BABFDD67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315" name="Isosceles Triangle 1314">
          <a:extLst>
            <a:ext uri="{FF2B5EF4-FFF2-40B4-BE49-F238E27FC236}">
              <a16:creationId xmlns:a16="http://schemas.microsoft.com/office/drawing/2014/main" id="{DF9CEE3A-1E88-4D66-A262-4FC3F72D6ADD}"/>
            </a:ext>
          </a:extLst>
        </xdr:cNvPr>
        <xdr:cNvSpPr/>
      </xdr:nvSpPr>
      <xdr:spPr>
        <a:xfrm rot="10800000">
          <a:off x="140889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127</xdr:row>
      <xdr:rowOff>196272</xdr:rowOff>
    </xdr:from>
    <xdr:to>
      <xdr:col>10</xdr:col>
      <xdr:colOff>2320636</xdr:colOff>
      <xdr:row>127</xdr:row>
      <xdr:rowOff>346363</xdr:rowOff>
    </xdr:to>
    <xdr:sp macro="" textlink="">
      <xdr:nvSpPr>
        <xdr:cNvPr id="1316" name="Isosceles Triangle 1315">
          <a:extLst>
            <a:ext uri="{FF2B5EF4-FFF2-40B4-BE49-F238E27FC236}">
              <a16:creationId xmlns:a16="http://schemas.microsoft.com/office/drawing/2014/main" id="{2B3D4200-616D-4451-A206-65BE80CAF1D6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127</xdr:row>
      <xdr:rowOff>196272</xdr:rowOff>
    </xdr:from>
    <xdr:to>
      <xdr:col>10</xdr:col>
      <xdr:colOff>2320636</xdr:colOff>
      <xdr:row>127</xdr:row>
      <xdr:rowOff>346363</xdr:rowOff>
    </xdr:to>
    <xdr:sp macro="" textlink="">
      <xdr:nvSpPr>
        <xdr:cNvPr id="1317" name="Isosceles Triangle 1316">
          <a:extLst>
            <a:ext uri="{FF2B5EF4-FFF2-40B4-BE49-F238E27FC236}">
              <a16:creationId xmlns:a16="http://schemas.microsoft.com/office/drawing/2014/main" id="{B22D48E1-E3B4-4A8C-B4D5-C2601F758C52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127</xdr:row>
      <xdr:rowOff>196272</xdr:rowOff>
    </xdr:from>
    <xdr:to>
      <xdr:col>10</xdr:col>
      <xdr:colOff>2320636</xdr:colOff>
      <xdr:row>127</xdr:row>
      <xdr:rowOff>346363</xdr:rowOff>
    </xdr:to>
    <xdr:sp macro="" textlink="">
      <xdr:nvSpPr>
        <xdr:cNvPr id="1318" name="Isosceles Triangle 1317">
          <a:extLst>
            <a:ext uri="{FF2B5EF4-FFF2-40B4-BE49-F238E27FC236}">
              <a16:creationId xmlns:a16="http://schemas.microsoft.com/office/drawing/2014/main" id="{CB88C2B9-AA80-4259-AAA4-52805436243D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127</xdr:row>
      <xdr:rowOff>196272</xdr:rowOff>
    </xdr:from>
    <xdr:to>
      <xdr:col>10</xdr:col>
      <xdr:colOff>2320636</xdr:colOff>
      <xdr:row>127</xdr:row>
      <xdr:rowOff>346363</xdr:rowOff>
    </xdr:to>
    <xdr:sp macro="" textlink="">
      <xdr:nvSpPr>
        <xdr:cNvPr id="1319" name="Isosceles Triangle 1318">
          <a:extLst>
            <a:ext uri="{FF2B5EF4-FFF2-40B4-BE49-F238E27FC236}">
              <a16:creationId xmlns:a16="http://schemas.microsoft.com/office/drawing/2014/main" id="{827CC8AC-A0A0-49EC-A5A4-8F072EFC5F72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1361" name="Isosceles Triangle 1360">
          <a:extLst>
            <a:ext uri="{FF2B5EF4-FFF2-40B4-BE49-F238E27FC236}">
              <a16:creationId xmlns:a16="http://schemas.microsoft.com/office/drawing/2014/main" id="{C2C40365-8B01-4C8E-9605-EE49A2EEA04A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1362" name="Isosceles Triangle 1361">
          <a:extLst>
            <a:ext uri="{FF2B5EF4-FFF2-40B4-BE49-F238E27FC236}">
              <a16:creationId xmlns:a16="http://schemas.microsoft.com/office/drawing/2014/main" id="{0B3EEEC3-B25C-4809-8F3B-461B8E62ACC5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1363" name="Isosceles Triangle 1362">
          <a:extLst>
            <a:ext uri="{FF2B5EF4-FFF2-40B4-BE49-F238E27FC236}">
              <a16:creationId xmlns:a16="http://schemas.microsoft.com/office/drawing/2014/main" id="{0F1BB20F-F5F5-4640-BB39-ACB3251D21EA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1364" name="Isosceles Triangle 1363">
          <a:extLst>
            <a:ext uri="{FF2B5EF4-FFF2-40B4-BE49-F238E27FC236}">
              <a16:creationId xmlns:a16="http://schemas.microsoft.com/office/drawing/2014/main" id="{6F424E91-66A0-4F70-9AD5-7751135963A8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128</xdr:row>
      <xdr:rowOff>196272</xdr:rowOff>
    </xdr:from>
    <xdr:to>
      <xdr:col>8</xdr:col>
      <xdr:colOff>2320636</xdr:colOff>
      <xdr:row>128</xdr:row>
      <xdr:rowOff>346363</xdr:rowOff>
    </xdr:to>
    <xdr:sp macro="" textlink="">
      <xdr:nvSpPr>
        <xdr:cNvPr id="1365" name="Isosceles Triangle 1364">
          <a:extLst>
            <a:ext uri="{FF2B5EF4-FFF2-40B4-BE49-F238E27FC236}">
              <a16:creationId xmlns:a16="http://schemas.microsoft.com/office/drawing/2014/main" id="{5A65299A-DFE2-418D-B997-1F06D43E3F54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128</xdr:row>
      <xdr:rowOff>196272</xdr:rowOff>
    </xdr:from>
    <xdr:to>
      <xdr:col>8</xdr:col>
      <xdr:colOff>2320636</xdr:colOff>
      <xdr:row>128</xdr:row>
      <xdr:rowOff>346363</xdr:rowOff>
    </xdr:to>
    <xdr:sp macro="" textlink="">
      <xdr:nvSpPr>
        <xdr:cNvPr id="1366" name="Isosceles Triangle 1365">
          <a:extLst>
            <a:ext uri="{FF2B5EF4-FFF2-40B4-BE49-F238E27FC236}">
              <a16:creationId xmlns:a16="http://schemas.microsoft.com/office/drawing/2014/main" id="{C0EE816F-17FD-4159-AF93-09B47B55350C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128</xdr:row>
      <xdr:rowOff>196272</xdr:rowOff>
    </xdr:from>
    <xdr:to>
      <xdr:col>8</xdr:col>
      <xdr:colOff>2320636</xdr:colOff>
      <xdr:row>128</xdr:row>
      <xdr:rowOff>346363</xdr:rowOff>
    </xdr:to>
    <xdr:sp macro="" textlink="">
      <xdr:nvSpPr>
        <xdr:cNvPr id="1367" name="Isosceles Triangle 1366">
          <a:extLst>
            <a:ext uri="{FF2B5EF4-FFF2-40B4-BE49-F238E27FC236}">
              <a16:creationId xmlns:a16="http://schemas.microsoft.com/office/drawing/2014/main" id="{C96237FF-D562-4417-B50D-203F131DF5D2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128</xdr:row>
      <xdr:rowOff>196272</xdr:rowOff>
    </xdr:from>
    <xdr:to>
      <xdr:col>8</xdr:col>
      <xdr:colOff>2320636</xdr:colOff>
      <xdr:row>128</xdr:row>
      <xdr:rowOff>346363</xdr:rowOff>
    </xdr:to>
    <xdr:sp macro="" textlink="">
      <xdr:nvSpPr>
        <xdr:cNvPr id="1368" name="Isosceles Triangle 1367">
          <a:extLst>
            <a:ext uri="{FF2B5EF4-FFF2-40B4-BE49-F238E27FC236}">
              <a16:creationId xmlns:a16="http://schemas.microsoft.com/office/drawing/2014/main" id="{AD0234E3-1F8A-48B3-9D35-8D4F11F94B2B}"/>
            </a:ext>
          </a:extLst>
        </xdr:cNvPr>
        <xdr:cNvSpPr/>
      </xdr:nvSpPr>
      <xdr:spPr>
        <a:xfrm rot="10800000">
          <a:off x="10621817" y="72713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130</xdr:row>
      <xdr:rowOff>196272</xdr:rowOff>
    </xdr:from>
    <xdr:to>
      <xdr:col>8</xdr:col>
      <xdr:colOff>2320636</xdr:colOff>
      <xdr:row>130</xdr:row>
      <xdr:rowOff>346363</xdr:rowOff>
    </xdr:to>
    <xdr:sp macro="" textlink="">
      <xdr:nvSpPr>
        <xdr:cNvPr id="1369" name="Isosceles Triangle 1368">
          <a:extLst>
            <a:ext uri="{FF2B5EF4-FFF2-40B4-BE49-F238E27FC236}">
              <a16:creationId xmlns:a16="http://schemas.microsoft.com/office/drawing/2014/main" id="{799FB0AC-DEB8-473A-96A1-903E98712B1D}"/>
            </a:ext>
          </a:extLst>
        </xdr:cNvPr>
        <xdr:cNvSpPr/>
      </xdr:nvSpPr>
      <xdr:spPr>
        <a:xfrm rot="10800000">
          <a:off x="106218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130</xdr:row>
      <xdr:rowOff>196272</xdr:rowOff>
    </xdr:from>
    <xdr:to>
      <xdr:col>8</xdr:col>
      <xdr:colOff>2320636</xdr:colOff>
      <xdr:row>130</xdr:row>
      <xdr:rowOff>346363</xdr:rowOff>
    </xdr:to>
    <xdr:sp macro="" textlink="">
      <xdr:nvSpPr>
        <xdr:cNvPr id="1370" name="Isosceles Triangle 1369">
          <a:extLst>
            <a:ext uri="{FF2B5EF4-FFF2-40B4-BE49-F238E27FC236}">
              <a16:creationId xmlns:a16="http://schemas.microsoft.com/office/drawing/2014/main" id="{3EAC6D82-C2B7-4E1A-963D-AD8D12D160CF}"/>
            </a:ext>
          </a:extLst>
        </xdr:cNvPr>
        <xdr:cNvSpPr/>
      </xdr:nvSpPr>
      <xdr:spPr>
        <a:xfrm rot="10800000">
          <a:off x="10621817" y="7157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1371" name="Isosceles Triangle 1370">
          <a:extLst>
            <a:ext uri="{FF2B5EF4-FFF2-40B4-BE49-F238E27FC236}">
              <a16:creationId xmlns:a16="http://schemas.microsoft.com/office/drawing/2014/main" id="{65A59371-AC6D-4B8B-8613-72F06509495E}"/>
            </a:ext>
          </a:extLst>
        </xdr:cNvPr>
        <xdr:cNvSpPr/>
      </xdr:nvSpPr>
      <xdr:spPr>
        <a:xfrm rot="10800000">
          <a:off x="14088917" y="7671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1372" name="Isosceles Triangle 1371">
          <a:extLst>
            <a:ext uri="{FF2B5EF4-FFF2-40B4-BE49-F238E27FC236}">
              <a16:creationId xmlns:a16="http://schemas.microsoft.com/office/drawing/2014/main" id="{0FCF745F-C50D-4849-BB5D-C85EF39C74AB}"/>
            </a:ext>
          </a:extLst>
        </xdr:cNvPr>
        <xdr:cNvSpPr/>
      </xdr:nvSpPr>
      <xdr:spPr>
        <a:xfrm rot="10800000">
          <a:off x="14088917" y="7671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1385" name="Isosceles Triangle 1384">
          <a:extLst>
            <a:ext uri="{FF2B5EF4-FFF2-40B4-BE49-F238E27FC236}">
              <a16:creationId xmlns:a16="http://schemas.microsoft.com/office/drawing/2014/main" id="{B38A59D3-2675-42DB-AABC-DB4AF5A8C58D}"/>
            </a:ext>
          </a:extLst>
        </xdr:cNvPr>
        <xdr:cNvSpPr/>
      </xdr:nvSpPr>
      <xdr:spPr>
        <a:xfrm rot="10800000">
          <a:off x="14088917" y="7671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1386" name="Isosceles Triangle 1385">
          <a:extLst>
            <a:ext uri="{FF2B5EF4-FFF2-40B4-BE49-F238E27FC236}">
              <a16:creationId xmlns:a16="http://schemas.microsoft.com/office/drawing/2014/main" id="{0F3AA1C0-52A0-41E3-867C-41CDAF53B56C}"/>
            </a:ext>
          </a:extLst>
        </xdr:cNvPr>
        <xdr:cNvSpPr/>
      </xdr:nvSpPr>
      <xdr:spPr>
        <a:xfrm rot="10800000">
          <a:off x="14088917" y="7671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1387" name="Isosceles Triangle 1386">
          <a:extLst>
            <a:ext uri="{FF2B5EF4-FFF2-40B4-BE49-F238E27FC236}">
              <a16:creationId xmlns:a16="http://schemas.microsoft.com/office/drawing/2014/main" id="{2CFD5EE4-5F1B-4E2B-AEFC-2D1B86BCCB21}"/>
            </a:ext>
          </a:extLst>
        </xdr:cNvPr>
        <xdr:cNvSpPr/>
      </xdr:nvSpPr>
      <xdr:spPr>
        <a:xfrm rot="10800000">
          <a:off x="14088917" y="7671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388" name="Isosceles Triangle 1387">
          <a:extLst>
            <a:ext uri="{FF2B5EF4-FFF2-40B4-BE49-F238E27FC236}">
              <a16:creationId xmlns:a16="http://schemas.microsoft.com/office/drawing/2014/main" id="{C2A689ED-9EC2-4686-AD05-B3B824AB095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389" name="Isosceles Triangle 1388">
          <a:extLst>
            <a:ext uri="{FF2B5EF4-FFF2-40B4-BE49-F238E27FC236}">
              <a16:creationId xmlns:a16="http://schemas.microsoft.com/office/drawing/2014/main" id="{BE0C3745-AB5A-4B21-9410-B372DFE2B8C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390" name="Isosceles Triangle 1389">
          <a:extLst>
            <a:ext uri="{FF2B5EF4-FFF2-40B4-BE49-F238E27FC236}">
              <a16:creationId xmlns:a16="http://schemas.microsoft.com/office/drawing/2014/main" id="{4F899160-3C79-40AD-A5EC-FBA2008DF0E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391" name="Isosceles Triangle 1390">
          <a:extLst>
            <a:ext uri="{FF2B5EF4-FFF2-40B4-BE49-F238E27FC236}">
              <a16:creationId xmlns:a16="http://schemas.microsoft.com/office/drawing/2014/main" id="{D976D2F7-FCEA-4CD1-A4ED-BADF53E1608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392" name="Isosceles Triangle 1391">
          <a:extLst>
            <a:ext uri="{FF2B5EF4-FFF2-40B4-BE49-F238E27FC236}">
              <a16:creationId xmlns:a16="http://schemas.microsoft.com/office/drawing/2014/main" id="{BDA63F9F-CAD7-4DCB-B3DB-2C9406909C6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393" name="Isosceles Triangle 1392">
          <a:extLst>
            <a:ext uri="{FF2B5EF4-FFF2-40B4-BE49-F238E27FC236}">
              <a16:creationId xmlns:a16="http://schemas.microsoft.com/office/drawing/2014/main" id="{A53D21F5-4CEF-4EB1-8DFA-29277E444E9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394" name="Isosceles Triangle 1393">
          <a:extLst>
            <a:ext uri="{FF2B5EF4-FFF2-40B4-BE49-F238E27FC236}">
              <a16:creationId xmlns:a16="http://schemas.microsoft.com/office/drawing/2014/main" id="{76621B62-CCF9-47C9-943F-AFA8EE031CB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395" name="Isosceles Triangle 1394">
          <a:extLst>
            <a:ext uri="{FF2B5EF4-FFF2-40B4-BE49-F238E27FC236}">
              <a16:creationId xmlns:a16="http://schemas.microsoft.com/office/drawing/2014/main" id="{1FEBA0B7-3B38-47E9-9A06-BE1B47B3206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396" name="Isosceles Triangle 1395">
          <a:extLst>
            <a:ext uri="{FF2B5EF4-FFF2-40B4-BE49-F238E27FC236}">
              <a16:creationId xmlns:a16="http://schemas.microsoft.com/office/drawing/2014/main" id="{4110C828-35FF-4104-9652-C4003C2CD43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397" name="Isosceles Triangle 1396">
          <a:extLst>
            <a:ext uri="{FF2B5EF4-FFF2-40B4-BE49-F238E27FC236}">
              <a16:creationId xmlns:a16="http://schemas.microsoft.com/office/drawing/2014/main" id="{68661F2B-ABBB-42D5-9649-F8B71EDEE59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398" name="Isosceles Triangle 1397">
          <a:extLst>
            <a:ext uri="{FF2B5EF4-FFF2-40B4-BE49-F238E27FC236}">
              <a16:creationId xmlns:a16="http://schemas.microsoft.com/office/drawing/2014/main" id="{9EED13A6-3412-4DA0-A813-4EA9E16BFF8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399" name="Isosceles Triangle 1398">
          <a:extLst>
            <a:ext uri="{FF2B5EF4-FFF2-40B4-BE49-F238E27FC236}">
              <a16:creationId xmlns:a16="http://schemas.microsoft.com/office/drawing/2014/main" id="{A3E5B1E8-324A-4206-9B12-9627DE4A05F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400" name="Isosceles Triangle 1399">
          <a:extLst>
            <a:ext uri="{FF2B5EF4-FFF2-40B4-BE49-F238E27FC236}">
              <a16:creationId xmlns:a16="http://schemas.microsoft.com/office/drawing/2014/main" id="{AAC92B60-9F84-4C59-9334-18713122379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401" name="Isosceles Triangle 1400">
          <a:extLst>
            <a:ext uri="{FF2B5EF4-FFF2-40B4-BE49-F238E27FC236}">
              <a16:creationId xmlns:a16="http://schemas.microsoft.com/office/drawing/2014/main" id="{CD8B59ED-2E6F-4876-B543-948A86B898F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402" name="Isosceles Triangle 1401">
          <a:extLst>
            <a:ext uri="{FF2B5EF4-FFF2-40B4-BE49-F238E27FC236}">
              <a16:creationId xmlns:a16="http://schemas.microsoft.com/office/drawing/2014/main" id="{B59A93B9-5385-45A1-B6C1-DE2468831269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403" name="Isosceles Triangle 1402">
          <a:extLst>
            <a:ext uri="{FF2B5EF4-FFF2-40B4-BE49-F238E27FC236}">
              <a16:creationId xmlns:a16="http://schemas.microsoft.com/office/drawing/2014/main" id="{697BEED1-FE2B-48E8-82CB-0D340193C345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404" name="Isosceles Triangle 1403">
          <a:extLst>
            <a:ext uri="{FF2B5EF4-FFF2-40B4-BE49-F238E27FC236}">
              <a16:creationId xmlns:a16="http://schemas.microsoft.com/office/drawing/2014/main" id="{7760C35F-9161-4567-9853-BF65701902D3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405" name="Isosceles Triangle 1404">
          <a:extLst>
            <a:ext uri="{FF2B5EF4-FFF2-40B4-BE49-F238E27FC236}">
              <a16:creationId xmlns:a16="http://schemas.microsoft.com/office/drawing/2014/main" id="{F4A987FC-4902-4C40-A596-B7A67541B70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406" name="Isosceles Triangle 1405">
          <a:extLst>
            <a:ext uri="{FF2B5EF4-FFF2-40B4-BE49-F238E27FC236}">
              <a16:creationId xmlns:a16="http://schemas.microsoft.com/office/drawing/2014/main" id="{6734B990-2947-4C52-8BB1-9FFA849154A0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407" name="Isosceles Triangle 1406">
          <a:extLst>
            <a:ext uri="{FF2B5EF4-FFF2-40B4-BE49-F238E27FC236}">
              <a16:creationId xmlns:a16="http://schemas.microsoft.com/office/drawing/2014/main" id="{335A21FC-6915-4377-ADBE-6AE40F1A4BD4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408" name="Isosceles Triangle 1407">
          <a:extLst>
            <a:ext uri="{FF2B5EF4-FFF2-40B4-BE49-F238E27FC236}">
              <a16:creationId xmlns:a16="http://schemas.microsoft.com/office/drawing/2014/main" id="{E0EC7A8E-D3DF-41D2-80B7-442280BD9FE3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409" name="Isosceles Triangle 1408">
          <a:extLst>
            <a:ext uri="{FF2B5EF4-FFF2-40B4-BE49-F238E27FC236}">
              <a16:creationId xmlns:a16="http://schemas.microsoft.com/office/drawing/2014/main" id="{A90BAF74-2ED7-4148-87F1-655D741F6E8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410" name="Isosceles Triangle 1409">
          <a:extLst>
            <a:ext uri="{FF2B5EF4-FFF2-40B4-BE49-F238E27FC236}">
              <a16:creationId xmlns:a16="http://schemas.microsoft.com/office/drawing/2014/main" id="{FE6A7D44-0C1B-40E7-B941-F038A133623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411" name="Isosceles Triangle 1410">
          <a:extLst>
            <a:ext uri="{FF2B5EF4-FFF2-40B4-BE49-F238E27FC236}">
              <a16:creationId xmlns:a16="http://schemas.microsoft.com/office/drawing/2014/main" id="{8E590CC6-BC17-4C33-B861-DFC303E02B1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412" name="Isosceles Triangle 1411">
          <a:extLst>
            <a:ext uri="{FF2B5EF4-FFF2-40B4-BE49-F238E27FC236}">
              <a16:creationId xmlns:a16="http://schemas.microsoft.com/office/drawing/2014/main" id="{5C6BDB80-A0D7-4652-9123-5A8664B6AAC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413" name="Isosceles Triangle 1412">
          <a:extLst>
            <a:ext uri="{FF2B5EF4-FFF2-40B4-BE49-F238E27FC236}">
              <a16:creationId xmlns:a16="http://schemas.microsoft.com/office/drawing/2014/main" id="{487A350D-DF08-4B25-AFF5-A9197F0F59E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129</xdr:row>
      <xdr:rowOff>196272</xdr:rowOff>
    </xdr:from>
    <xdr:to>
      <xdr:col>8</xdr:col>
      <xdr:colOff>2320636</xdr:colOff>
      <xdr:row>129</xdr:row>
      <xdr:rowOff>346363</xdr:rowOff>
    </xdr:to>
    <xdr:sp macro="" textlink="">
      <xdr:nvSpPr>
        <xdr:cNvPr id="1414" name="Isosceles Triangle 1413">
          <a:extLst>
            <a:ext uri="{FF2B5EF4-FFF2-40B4-BE49-F238E27FC236}">
              <a16:creationId xmlns:a16="http://schemas.microsoft.com/office/drawing/2014/main" id="{EEB527C6-6EE0-43D5-94E6-55D4D7D589A2}"/>
            </a:ext>
          </a:extLst>
        </xdr:cNvPr>
        <xdr:cNvSpPr/>
      </xdr:nvSpPr>
      <xdr:spPr>
        <a:xfrm rot="10800000">
          <a:off x="10621817" y="7328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129</xdr:row>
      <xdr:rowOff>196272</xdr:rowOff>
    </xdr:from>
    <xdr:to>
      <xdr:col>8</xdr:col>
      <xdr:colOff>2320636</xdr:colOff>
      <xdr:row>129</xdr:row>
      <xdr:rowOff>346363</xdr:rowOff>
    </xdr:to>
    <xdr:sp macro="" textlink="">
      <xdr:nvSpPr>
        <xdr:cNvPr id="1415" name="Isosceles Triangle 1414">
          <a:extLst>
            <a:ext uri="{FF2B5EF4-FFF2-40B4-BE49-F238E27FC236}">
              <a16:creationId xmlns:a16="http://schemas.microsoft.com/office/drawing/2014/main" id="{DD070E38-981A-4564-9B07-70FB0A94EB1D}"/>
            </a:ext>
          </a:extLst>
        </xdr:cNvPr>
        <xdr:cNvSpPr/>
      </xdr:nvSpPr>
      <xdr:spPr>
        <a:xfrm rot="10800000">
          <a:off x="10621817" y="7328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129</xdr:row>
      <xdr:rowOff>196272</xdr:rowOff>
    </xdr:from>
    <xdr:to>
      <xdr:col>8</xdr:col>
      <xdr:colOff>2320636</xdr:colOff>
      <xdr:row>129</xdr:row>
      <xdr:rowOff>346363</xdr:rowOff>
    </xdr:to>
    <xdr:sp macro="" textlink="">
      <xdr:nvSpPr>
        <xdr:cNvPr id="1416" name="Isosceles Triangle 1415">
          <a:extLst>
            <a:ext uri="{FF2B5EF4-FFF2-40B4-BE49-F238E27FC236}">
              <a16:creationId xmlns:a16="http://schemas.microsoft.com/office/drawing/2014/main" id="{0508EA3F-FF92-487F-BF39-64E67790CD8E}"/>
            </a:ext>
          </a:extLst>
        </xdr:cNvPr>
        <xdr:cNvSpPr/>
      </xdr:nvSpPr>
      <xdr:spPr>
        <a:xfrm rot="10800000">
          <a:off x="10621817" y="7328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129</xdr:row>
      <xdr:rowOff>196272</xdr:rowOff>
    </xdr:from>
    <xdr:to>
      <xdr:col>8</xdr:col>
      <xdr:colOff>2320636</xdr:colOff>
      <xdr:row>129</xdr:row>
      <xdr:rowOff>346363</xdr:rowOff>
    </xdr:to>
    <xdr:sp macro="" textlink="">
      <xdr:nvSpPr>
        <xdr:cNvPr id="1417" name="Isosceles Triangle 1416">
          <a:extLst>
            <a:ext uri="{FF2B5EF4-FFF2-40B4-BE49-F238E27FC236}">
              <a16:creationId xmlns:a16="http://schemas.microsoft.com/office/drawing/2014/main" id="{94021992-DD39-4198-9E4C-03CE781A3AA7}"/>
            </a:ext>
          </a:extLst>
        </xdr:cNvPr>
        <xdr:cNvSpPr/>
      </xdr:nvSpPr>
      <xdr:spPr>
        <a:xfrm rot="10800000">
          <a:off x="10621817" y="73284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130</xdr:row>
      <xdr:rowOff>196272</xdr:rowOff>
    </xdr:from>
    <xdr:to>
      <xdr:col>8</xdr:col>
      <xdr:colOff>2320636</xdr:colOff>
      <xdr:row>130</xdr:row>
      <xdr:rowOff>346363</xdr:rowOff>
    </xdr:to>
    <xdr:sp macro="" textlink="">
      <xdr:nvSpPr>
        <xdr:cNvPr id="1422" name="Isosceles Triangle 1421">
          <a:extLst>
            <a:ext uri="{FF2B5EF4-FFF2-40B4-BE49-F238E27FC236}">
              <a16:creationId xmlns:a16="http://schemas.microsoft.com/office/drawing/2014/main" id="{52EED111-44E5-49BC-BC94-F2870F3BFF76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130</xdr:row>
      <xdr:rowOff>196272</xdr:rowOff>
    </xdr:from>
    <xdr:to>
      <xdr:col>8</xdr:col>
      <xdr:colOff>2320636</xdr:colOff>
      <xdr:row>130</xdr:row>
      <xdr:rowOff>346363</xdr:rowOff>
    </xdr:to>
    <xdr:sp macro="" textlink="">
      <xdr:nvSpPr>
        <xdr:cNvPr id="1423" name="Isosceles Triangle 1422">
          <a:extLst>
            <a:ext uri="{FF2B5EF4-FFF2-40B4-BE49-F238E27FC236}">
              <a16:creationId xmlns:a16="http://schemas.microsoft.com/office/drawing/2014/main" id="{9F01487B-A6AC-46CC-957F-A44D18EE7D12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130</xdr:row>
      <xdr:rowOff>196272</xdr:rowOff>
    </xdr:from>
    <xdr:to>
      <xdr:col>8</xdr:col>
      <xdr:colOff>2320636</xdr:colOff>
      <xdr:row>130</xdr:row>
      <xdr:rowOff>346363</xdr:rowOff>
    </xdr:to>
    <xdr:sp macro="" textlink="">
      <xdr:nvSpPr>
        <xdr:cNvPr id="1424" name="Isosceles Triangle 1423">
          <a:extLst>
            <a:ext uri="{FF2B5EF4-FFF2-40B4-BE49-F238E27FC236}">
              <a16:creationId xmlns:a16="http://schemas.microsoft.com/office/drawing/2014/main" id="{70E2E186-BEDD-414B-9F68-BE8990E08351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130</xdr:row>
      <xdr:rowOff>196272</xdr:rowOff>
    </xdr:from>
    <xdr:to>
      <xdr:col>8</xdr:col>
      <xdr:colOff>2320636</xdr:colOff>
      <xdr:row>130</xdr:row>
      <xdr:rowOff>346363</xdr:rowOff>
    </xdr:to>
    <xdr:sp macro="" textlink="">
      <xdr:nvSpPr>
        <xdr:cNvPr id="1425" name="Isosceles Triangle 1424">
          <a:extLst>
            <a:ext uri="{FF2B5EF4-FFF2-40B4-BE49-F238E27FC236}">
              <a16:creationId xmlns:a16="http://schemas.microsoft.com/office/drawing/2014/main" id="{35875861-EAC1-45A3-806E-3491438309A7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130</xdr:row>
      <xdr:rowOff>196272</xdr:rowOff>
    </xdr:from>
    <xdr:to>
      <xdr:col>8</xdr:col>
      <xdr:colOff>2320636</xdr:colOff>
      <xdr:row>130</xdr:row>
      <xdr:rowOff>346363</xdr:rowOff>
    </xdr:to>
    <xdr:sp macro="" textlink="">
      <xdr:nvSpPr>
        <xdr:cNvPr id="1426" name="Isosceles Triangle 1425">
          <a:extLst>
            <a:ext uri="{FF2B5EF4-FFF2-40B4-BE49-F238E27FC236}">
              <a16:creationId xmlns:a16="http://schemas.microsoft.com/office/drawing/2014/main" id="{50E547E7-DC9E-4099-8A1B-5DDBC708F725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130</xdr:row>
      <xdr:rowOff>196272</xdr:rowOff>
    </xdr:from>
    <xdr:to>
      <xdr:col>8</xdr:col>
      <xdr:colOff>2320636</xdr:colOff>
      <xdr:row>130</xdr:row>
      <xdr:rowOff>346363</xdr:rowOff>
    </xdr:to>
    <xdr:sp macro="" textlink="">
      <xdr:nvSpPr>
        <xdr:cNvPr id="1427" name="Isosceles Triangle 1426">
          <a:extLst>
            <a:ext uri="{FF2B5EF4-FFF2-40B4-BE49-F238E27FC236}">
              <a16:creationId xmlns:a16="http://schemas.microsoft.com/office/drawing/2014/main" id="{93C3C74A-D047-4827-B495-F3D8A8CDDC08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130</xdr:row>
      <xdr:rowOff>196272</xdr:rowOff>
    </xdr:from>
    <xdr:to>
      <xdr:col>8</xdr:col>
      <xdr:colOff>2320636</xdr:colOff>
      <xdr:row>130</xdr:row>
      <xdr:rowOff>346363</xdr:rowOff>
    </xdr:to>
    <xdr:sp macro="" textlink="">
      <xdr:nvSpPr>
        <xdr:cNvPr id="1428" name="Isosceles Triangle 1427">
          <a:extLst>
            <a:ext uri="{FF2B5EF4-FFF2-40B4-BE49-F238E27FC236}">
              <a16:creationId xmlns:a16="http://schemas.microsoft.com/office/drawing/2014/main" id="{DFBDD86D-5DA3-426D-82BB-B19746BF1C3B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130</xdr:row>
      <xdr:rowOff>196272</xdr:rowOff>
    </xdr:from>
    <xdr:to>
      <xdr:col>8</xdr:col>
      <xdr:colOff>2320636</xdr:colOff>
      <xdr:row>130</xdr:row>
      <xdr:rowOff>346363</xdr:rowOff>
    </xdr:to>
    <xdr:sp macro="" textlink="">
      <xdr:nvSpPr>
        <xdr:cNvPr id="1429" name="Isosceles Triangle 1428">
          <a:extLst>
            <a:ext uri="{FF2B5EF4-FFF2-40B4-BE49-F238E27FC236}">
              <a16:creationId xmlns:a16="http://schemas.microsoft.com/office/drawing/2014/main" id="{1E3BE64D-1F1F-4AB5-AF8D-DD905846065A}"/>
            </a:ext>
          </a:extLst>
        </xdr:cNvPr>
        <xdr:cNvSpPr/>
      </xdr:nvSpPr>
      <xdr:spPr>
        <a:xfrm rot="10800000">
          <a:off x="10621817" y="7214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55</xdr:row>
      <xdr:rowOff>196272</xdr:rowOff>
    </xdr:from>
    <xdr:to>
      <xdr:col>10</xdr:col>
      <xdr:colOff>2320636</xdr:colOff>
      <xdr:row>55</xdr:row>
      <xdr:rowOff>346363</xdr:rowOff>
    </xdr:to>
    <xdr:sp macro="" textlink="">
      <xdr:nvSpPr>
        <xdr:cNvPr id="1430" name="Isosceles Triangle 1429">
          <a:extLst>
            <a:ext uri="{FF2B5EF4-FFF2-40B4-BE49-F238E27FC236}">
              <a16:creationId xmlns:a16="http://schemas.microsoft.com/office/drawing/2014/main" id="{744D26FC-7036-4AE5-920C-A7164CC55981}"/>
            </a:ext>
          </a:extLst>
        </xdr:cNvPr>
        <xdr:cNvSpPr/>
      </xdr:nvSpPr>
      <xdr:spPr>
        <a:xfrm rot="10800000">
          <a:off x="14088917" y="3099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55</xdr:row>
      <xdr:rowOff>196272</xdr:rowOff>
    </xdr:from>
    <xdr:to>
      <xdr:col>10</xdr:col>
      <xdr:colOff>2320636</xdr:colOff>
      <xdr:row>55</xdr:row>
      <xdr:rowOff>346363</xdr:rowOff>
    </xdr:to>
    <xdr:sp macro="" textlink="">
      <xdr:nvSpPr>
        <xdr:cNvPr id="1431" name="Isosceles Triangle 1430">
          <a:extLst>
            <a:ext uri="{FF2B5EF4-FFF2-40B4-BE49-F238E27FC236}">
              <a16:creationId xmlns:a16="http://schemas.microsoft.com/office/drawing/2014/main" id="{BE86BC48-E121-48B2-845D-F0738C0A0032}"/>
            </a:ext>
          </a:extLst>
        </xdr:cNvPr>
        <xdr:cNvSpPr/>
      </xdr:nvSpPr>
      <xdr:spPr>
        <a:xfrm rot="10800000">
          <a:off x="14088917" y="3099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56</xdr:row>
      <xdr:rowOff>196272</xdr:rowOff>
    </xdr:from>
    <xdr:to>
      <xdr:col>10</xdr:col>
      <xdr:colOff>2320636</xdr:colOff>
      <xdr:row>56</xdr:row>
      <xdr:rowOff>346363</xdr:rowOff>
    </xdr:to>
    <xdr:sp macro="" textlink="">
      <xdr:nvSpPr>
        <xdr:cNvPr id="1432" name="Isosceles Triangle 1431">
          <a:extLst>
            <a:ext uri="{FF2B5EF4-FFF2-40B4-BE49-F238E27FC236}">
              <a16:creationId xmlns:a16="http://schemas.microsoft.com/office/drawing/2014/main" id="{DEDE97E2-7784-49EE-BA65-E1871E6AFB79}"/>
            </a:ext>
          </a:extLst>
        </xdr:cNvPr>
        <xdr:cNvSpPr/>
      </xdr:nvSpPr>
      <xdr:spPr>
        <a:xfrm rot="10800000">
          <a:off x="14088917" y="3156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56</xdr:row>
      <xdr:rowOff>196272</xdr:rowOff>
    </xdr:from>
    <xdr:to>
      <xdr:col>10</xdr:col>
      <xdr:colOff>2320636</xdr:colOff>
      <xdr:row>56</xdr:row>
      <xdr:rowOff>346363</xdr:rowOff>
    </xdr:to>
    <xdr:sp macro="" textlink="">
      <xdr:nvSpPr>
        <xdr:cNvPr id="1433" name="Isosceles Triangle 1432">
          <a:extLst>
            <a:ext uri="{FF2B5EF4-FFF2-40B4-BE49-F238E27FC236}">
              <a16:creationId xmlns:a16="http://schemas.microsoft.com/office/drawing/2014/main" id="{C778B92B-3A67-4BC5-918A-FF57E621E026}"/>
            </a:ext>
          </a:extLst>
        </xdr:cNvPr>
        <xdr:cNvSpPr/>
      </xdr:nvSpPr>
      <xdr:spPr>
        <a:xfrm rot="10800000">
          <a:off x="14088917" y="3156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56</xdr:row>
      <xdr:rowOff>196272</xdr:rowOff>
    </xdr:from>
    <xdr:to>
      <xdr:col>10</xdr:col>
      <xdr:colOff>2320636</xdr:colOff>
      <xdr:row>56</xdr:row>
      <xdr:rowOff>346363</xdr:rowOff>
    </xdr:to>
    <xdr:sp macro="" textlink="">
      <xdr:nvSpPr>
        <xdr:cNvPr id="1434" name="Isosceles Triangle 1433">
          <a:extLst>
            <a:ext uri="{FF2B5EF4-FFF2-40B4-BE49-F238E27FC236}">
              <a16:creationId xmlns:a16="http://schemas.microsoft.com/office/drawing/2014/main" id="{1FB49475-4432-4D57-8BD9-62D4DE7B2DC5}"/>
            </a:ext>
          </a:extLst>
        </xdr:cNvPr>
        <xdr:cNvSpPr/>
      </xdr:nvSpPr>
      <xdr:spPr>
        <a:xfrm rot="10800000">
          <a:off x="14088917" y="3156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56</xdr:row>
      <xdr:rowOff>196272</xdr:rowOff>
    </xdr:from>
    <xdr:to>
      <xdr:col>10</xdr:col>
      <xdr:colOff>2320636</xdr:colOff>
      <xdr:row>56</xdr:row>
      <xdr:rowOff>346363</xdr:rowOff>
    </xdr:to>
    <xdr:sp macro="" textlink="">
      <xdr:nvSpPr>
        <xdr:cNvPr id="1435" name="Isosceles Triangle 1434">
          <a:extLst>
            <a:ext uri="{FF2B5EF4-FFF2-40B4-BE49-F238E27FC236}">
              <a16:creationId xmlns:a16="http://schemas.microsoft.com/office/drawing/2014/main" id="{6C3FE329-6C46-4D0F-BB19-1962AF424521}"/>
            </a:ext>
          </a:extLst>
        </xdr:cNvPr>
        <xdr:cNvSpPr/>
      </xdr:nvSpPr>
      <xdr:spPr>
        <a:xfrm rot="10800000">
          <a:off x="14088917" y="31565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57</xdr:row>
      <xdr:rowOff>196272</xdr:rowOff>
    </xdr:from>
    <xdr:to>
      <xdr:col>10</xdr:col>
      <xdr:colOff>2320636</xdr:colOff>
      <xdr:row>57</xdr:row>
      <xdr:rowOff>346363</xdr:rowOff>
    </xdr:to>
    <xdr:sp macro="" textlink="">
      <xdr:nvSpPr>
        <xdr:cNvPr id="1436" name="Isosceles Triangle 1435">
          <a:extLst>
            <a:ext uri="{FF2B5EF4-FFF2-40B4-BE49-F238E27FC236}">
              <a16:creationId xmlns:a16="http://schemas.microsoft.com/office/drawing/2014/main" id="{520ADC33-2CAB-468C-82DA-71573C04CFCF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1437" name="Isosceles Triangle 1436">
          <a:extLst>
            <a:ext uri="{FF2B5EF4-FFF2-40B4-BE49-F238E27FC236}">
              <a16:creationId xmlns:a16="http://schemas.microsoft.com/office/drawing/2014/main" id="{8726985C-76CF-4113-8A13-F6C545D03E52}"/>
            </a:ext>
          </a:extLst>
        </xdr:cNvPr>
        <xdr:cNvSpPr/>
      </xdr:nvSpPr>
      <xdr:spPr>
        <a:xfrm rot="10800000">
          <a:off x="14088917" y="3099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1438" name="Isosceles Triangle 1437">
          <a:extLst>
            <a:ext uri="{FF2B5EF4-FFF2-40B4-BE49-F238E27FC236}">
              <a16:creationId xmlns:a16="http://schemas.microsoft.com/office/drawing/2014/main" id="{CF63DB7E-B97B-47A7-B8DE-BA39AEE171F9}"/>
            </a:ext>
          </a:extLst>
        </xdr:cNvPr>
        <xdr:cNvSpPr/>
      </xdr:nvSpPr>
      <xdr:spPr>
        <a:xfrm rot="10800000">
          <a:off x="14088917" y="3099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57</xdr:row>
      <xdr:rowOff>196272</xdr:rowOff>
    </xdr:from>
    <xdr:to>
      <xdr:col>10</xdr:col>
      <xdr:colOff>2320636</xdr:colOff>
      <xdr:row>57</xdr:row>
      <xdr:rowOff>346363</xdr:rowOff>
    </xdr:to>
    <xdr:sp macro="" textlink="">
      <xdr:nvSpPr>
        <xdr:cNvPr id="1439" name="Isosceles Triangle 1438">
          <a:extLst>
            <a:ext uri="{FF2B5EF4-FFF2-40B4-BE49-F238E27FC236}">
              <a16:creationId xmlns:a16="http://schemas.microsoft.com/office/drawing/2014/main" id="{53A20A1B-3E48-4145-82AB-0F35566CD182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57</xdr:row>
      <xdr:rowOff>196272</xdr:rowOff>
    </xdr:from>
    <xdr:to>
      <xdr:col>10</xdr:col>
      <xdr:colOff>2320636</xdr:colOff>
      <xdr:row>57</xdr:row>
      <xdr:rowOff>346363</xdr:rowOff>
    </xdr:to>
    <xdr:sp macro="" textlink="">
      <xdr:nvSpPr>
        <xdr:cNvPr id="1440" name="Isosceles Triangle 1439">
          <a:extLst>
            <a:ext uri="{FF2B5EF4-FFF2-40B4-BE49-F238E27FC236}">
              <a16:creationId xmlns:a16="http://schemas.microsoft.com/office/drawing/2014/main" id="{F0F2184E-26B5-4E1F-90B5-7BBFB3953CAC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57</xdr:row>
      <xdr:rowOff>196272</xdr:rowOff>
    </xdr:from>
    <xdr:to>
      <xdr:col>10</xdr:col>
      <xdr:colOff>2320636</xdr:colOff>
      <xdr:row>57</xdr:row>
      <xdr:rowOff>346363</xdr:rowOff>
    </xdr:to>
    <xdr:sp macro="" textlink="">
      <xdr:nvSpPr>
        <xdr:cNvPr id="1441" name="Isosceles Triangle 1440">
          <a:extLst>
            <a:ext uri="{FF2B5EF4-FFF2-40B4-BE49-F238E27FC236}">
              <a16:creationId xmlns:a16="http://schemas.microsoft.com/office/drawing/2014/main" id="{F694D0A9-1516-4E46-97B4-D9E7F812F2FA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1442" name="Isosceles Triangle 1441">
          <a:extLst>
            <a:ext uri="{FF2B5EF4-FFF2-40B4-BE49-F238E27FC236}">
              <a16:creationId xmlns:a16="http://schemas.microsoft.com/office/drawing/2014/main" id="{23514AD1-FAD5-4BA1-9B0C-79AEDE9C1321}"/>
            </a:ext>
          </a:extLst>
        </xdr:cNvPr>
        <xdr:cNvSpPr/>
      </xdr:nvSpPr>
      <xdr:spPr>
        <a:xfrm rot="10800000">
          <a:off x="14088917" y="3099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1443" name="Isosceles Triangle 1442">
          <a:extLst>
            <a:ext uri="{FF2B5EF4-FFF2-40B4-BE49-F238E27FC236}">
              <a16:creationId xmlns:a16="http://schemas.microsoft.com/office/drawing/2014/main" id="{36E982FB-B384-4286-BB4F-8EE07CDF68B4}"/>
            </a:ext>
          </a:extLst>
        </xdr:cNvPr>
        <xdr:cNvSpPr/>
      </xdr:nvSpPr>
      <xdr:spPr>
        <a:xfrm rot="10800000">
          <a:off x="14088917" y="3099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1444" name="Isosceles Triangle 1443">
          <a:extLst>
            <a:ext uri="{FF2B5EF4-FFF2-40B4-BE49-F238E27FC236}">
              <a16:creationId xmlns:a16="http://schemas.microsoft.com/office/drawing/2014/main" id="{6E46B1CA-E5D1-4D28-9FD2-C7F0D7DD1F21}"/>
            </a:ext>
          </a:extLst>
        </xdr:cNvPr>
        <xdr:cNvSpPr/>
      </xdr:nvSpPr>
      <xdr:spPr>
        <a:xfrm rot="10800000">
          <a:off x="14088917" y="3099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1445" name="Isosceles Triangle 1444">
          <a:extLst>
            <a:ext uri="{FF2B5EF4-FFF2-40B4-BE49-F238E27FC236}">
              <a16:creationId xmlns:a16="http://schemas.microsoft.com/office/drawing/2014/main" id="{7AC695AB-FC34-406A-997E-C1A7988BB8B2}"/>
            </a:ext>
          </a:extLst>
        </xdr:cNvPr>
        <xdr:cNvSpPr/>
      </xdr:nvSpPr>
      <xdr:spPr>
        <a:xfrm rot="10800000">
          <a:off x="14088917" y="30993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46" name="Isosceles Triangle 1445">
          <a:extLst>
            <a:ext uri="{FF2B5EF4-FFF2-40B4-BE49-F238E27FC236}">
              <a16:creationId xmlns:a16="http://schemas.microsoft.com/office/drawing/2014/main" id="{C49FC56C-F27E-4E3D-84A4-D3CE8D4659A1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47" name="Isosceles Triangle 1446">
          <a:extLst>
            <a:ext uri="{FF2B5EF4-FFF2-40B4-BE49-F238E27FC236}">
              <a16:creationId xmlns:a16="http://schemas.microsoft.com/office/drawing/2014/main" id="{1E817AC4-241A-49DF-B1F1-86C86ECCDC90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48" name="Isosceles Triangle 1447">
          <a:extLst>
            <a:ext uri="{FF2B5EF4-FFF2-40B4-BE49-F238E27FC236}">
              <a16:creationId xmlns:a16="http://schemas.microsoft.com/office/drawing/2014/main" id="{CB43A306-C641-4997-BCBF-82F9B8BFBC8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49" name="Isosceles Triangle 1448">
          <a:extLst>
            <a:ext uri="{FF2B5EF4-FFF2-40B4-BE49-F238E27FC236}">
              <a16:creationId xmlns:a16="http://schemas.microsoft.com/office/drawing/2014/main" id="{A72F5D85-4ACD-44DD-9D2D-B9A6321A73DF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50" name="Isosceles Triangle 1449">
          <a:extLst>
            <a:ext uri="{FF2B5EF4-FFF2-40B4-BE49-F238E27FC236}">
              <a16:creationId xmlns:a16="http://schemas.microsoft.com/office/drawing/2014/main" id="{014FC33C-677D-46D0-B510-842A5DAE282F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51" name="Isosceles Triangle 1450">
          <a:extLst>
            <a:ext uri="{FF2B5EF4-FFF2-40B4-BE49-F238E27FC236}">
              <a16:creationId xmlns:a16="http://schemas.microsoft.com/office/drawing/2014/main" id="{D99E333E-B960-4389-983F-97E1A391B741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52" name="Isosceles Triangle 1451">
          <a:extLst>
            <a:ext uri="{FF2B5EF4-FFF2-40B4-BE49-F238E27FC236}">
              <a16:creationId xmlns:a16="http://schemas.microsoft.com/office/drawing/2014/main" id="{4C3C4732-E030-40F5-96CC-208403172E64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53" name="Isosceles Triangle 1452">
          <a:extLst>
            <a:ext uri="{FF2B5EF4-FFF2-40B4-BE49-F238E27FC236}">
              <a16:creationId xmlns:a16="http://schemas.microsoft.com/office/drawing/2014/main" id="{9FD02381-CD8F-4589-9137-55806676C0A9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54" name="Isosceles Triangle 1453">
          <a:extLst>
            <a:ext uri="{FF2B5EF4-FFF2-40B4-BE49-F238E27FC236}">
              <a16:creationId xmlns:a16="http://schemas.microsoft.com/office/drawing/2014/main" id="{BE5B1914-F6D2-4B49-94F1-D88F9A04FA35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55" name="Isosceles Triangle 1454">
          <a:extLst>
            <a:ext uri="{FF2B5EF4-FFF2-40B4-BE49-F238E27FC236}">
              <a16:creationId xmlns:a16="http://schemas.microsoft.com/office/drawing/2014/main" id="{B2F0BCBF-F0AD-45FF-B50E-3CEED44E8E8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56" name="Isosceles Triangle 1455">
          <a:extLst>
            <a:ext uri="{FF2B5EF4-FFF2-40B4-BE49-F238E27FC236}">
              <a16:creationId xmlns:a16="http://schemas.microsoft.com/office/drawing/2014/main" id="{6B4FD421-E09A-4321-AEB4-D72C9824EE4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57" name="Isosceles Triangle 1456">
          <a:extLst>
            <a:ext uri="{FF2B5EF4-FFF2-40B4-BE49-F238E27FC236}">
              <a16:creationId xmlns:a16="http://schemas.microsoft.com/office/drawing/2014/main" id="{3E1D0B3A-7983-43A7-9874-C85F4FA17601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58" name="Isosceles Triangle 1457">
          <a:extLst>
            <a:ext uri="{FF2B5EF4-FFF2-40B4-BE49-F238E27FC236}">
              <a16:creationId xmlns:a16="http://schemas.microsoft.com/office/drawing/2014/main" id="{D1117601-7812-432D-BFD8-49739326887F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59" name="Isosceles Triangle 1458">
          <a:extLst>
            <a:ext uri="{FF2B5EF4-FFF2-40B4-BE49-F238E27FC236}">
              <a16:creationId xmlns:a16="http://schemas.microsoft.com/office/drawing/2014/main" id="{5EC0FCF1-E29B-4B88-9396-7CF38A03CF79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60" name="Isosceles Triangle 1459">
          <a:extLst>
            <a:ext uri="{FF2B5EF4-FFF2-40B4-BE49-F238E27FC236}">
              <a16:creationId xmlns:a16="http://schemas.microsoft.com/office/drawing/2014/main" id="{6788BD73-AA5D-4538-97CD-426C3CDB9A92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61" name="Isosceles Triangle 1460">
          <a:extLst>
            <a:ext uri="{FF2B5EF4-FFF2-40B4-BE49-F238E27FC236}">
              <a16:creationId xmlns:a16="http://schemas.microsoft.com/office/drawing/2014/main" id="{E6D3704F-6FE4-4C1D-8E4C-84E3A3FF8419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62" name="Isosceles Triangle 1461">
          <a:extLst>
            <a:ext uri="{FF2B5EF4-FFF2-40B4-BE49-F238E27FC236}">
              <a16:creationId xmlns:a16="http://schemas.microsoft.com/office/drawing/2014/main" id="{5D001DDA-9885-482D-90EE-57F127496F08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63" name="Isosceles Triangle 1462">
          <a:extLst>
            <a:ext uri="{FF2B5EF4-FFF2-40B4-BE49-F238E27FC236}">
              <a16:creationId xmlns:a16="http://schemas.microsoft.com/office/drawing/2014/main" id="{AF13C849-7D1E-4487-9CC6-793BFBC0DEEE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64" name="Isosceles Triangle 1463">
          <a:extLst>
            <a:ext uri="{FF2B5EF4-FFF2-40B4-BE49-F238E27FC236}">
              <a16:creationId xmlns:a16="http://schemas.microsoft.com/office/drawing/2014/main" id="{5B3C18AA-7EC6-4013-B8CD-2E7D7F818034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65" name="Isosceles Triangle 1464">
          <a:extLst>
            <a:ext uri="{FF2B5EF4-FFF2-40B4-BE49-F238E27FC236}">
              <a16:creationId xmlns:a16="http://schemas.microsoft.com/office/drawing/2014/main" id="{59B48D8A-8750-4EEA-BF64-A36182F9686A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66" name="Isosceles Triangle 1465">
          <a:extLst>
            <a:ext uri="{FF2B5EF4-FFF2-40B4-BE49-F238E27FC236}">
              <a16:creationId xmlns:a16="http://schemas.microsoft.com/office/drawing/2014/main" id="{9E3869D1-15B2-44CE-B2F0-AA553CE6F017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67" name="Isosceles Triangle 1466">
          <a:extLst>
            <a:ext uri="{FF2B5EF4-FFF2-40B4-BE49-F238E27FC236}">
              <a16:creationId xmlns:a16="http://schemas.microsoft.com/office/drawing/2014/main" id="{63878182-8738-4EC1-8B6E-1B47E156B48C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68" name="Isosceles Triangle 1467">
          <a:extLst>
            <a:ext uri="{FF2B5EF4-FFF2-40B4-BE49-F238E27FC236}">
              <a16:creationId xmlns:a16="http://schemas.microsoft.com/office/drawing/2014/main" id="{B282B20A-0B7A-466F-9C7E-5741C04B327E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69" name="Isosceles Triangle 1468">
          <a:extLst>
            <a:ext uri="{FF2B5EF4-FFF2-40B4-BE49-F238E27FC236}">
              <a16:creationId xmlns:a16="http://schemas.microsoft.com/office/drawing/2014/main" id="{0A90DA08-DD28-4D20-A2CE-83E5EEFBAFB7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70" name="Isosceles Triangle 1469">
          <a:extLst>
            <a:ext uri="{FF2B5EF4-FFF2-40B4-BE49-F238E27FC236}">
              <a16:creationId xmlns:a16="http://schemas.microsoft.com/office/drawing/2014/main" id="{4FBA25C7-2218-43E1-AD9B-CCF8D26A16DC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71" name="Isosceles Triangle 1470">
          <a:extLst>
            <a:ext uri="{FF2B5EF4-FFF2-40B4-BE49-F238E27FC236}">
              <a16:creationId xmlns:a16="http://schemas.microsoft.com/office/drawing/2014/main" id="{EECDB91E-1231-4BA3-B0AB-74677CB0E2FA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72" name="Isosceles Triangle 1471">
          <a:extLst>
            <a:ext uri="{FF2B5EF4-FFF2-40B4-BE49-F238E27FC236}">
              <a16:creationId xmlns:a16="http://schemas.microsoft.com/office/drawing/2014/main" id="{F1FCD429-174F-4A02-96BE-37C884AE1485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73" name="Isosceles Triangle 1472">
          <a:extLst>
            <a:ext uri="{FF2B5EF4-FFF2-40B4-BE49-F238E27FC236}">
              <a16:creationId xmlns:a16="http://schemas.microsoft.com/office/drawing/2014/main" id="{71DC94DA-1C08-49AE-9EB9-D41A7A9E2967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74" name="Isosceles Triangle 1473">
          <a:extLst>
            <a:ext uri="{FF2B5EF4-FFF2-40B4-BE49-F238E27FC236}">
              <a16:creationId xmlns:a16="http://schemas.microsoft.com/office/drawing/2014/main" id="{3F4A54A6-9780-4794-8653-85244772DAF5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75" name="Isosceles Triangle 1474">
          <a:extLst>
            <a:ext uri="{FF2B5EF4-FFF2-40B4-BE49-F238E27FC236}">
              <a16:creationId xmlns:a16="http://schemas.microsoft.com/office/drawing/2014/main" id="{A7F43CCD-5F79-494F-91A3-2370A5576574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76" name="Isosceles Triangle 1475">
          <a:extLst>
            <a:ext uri="{FF2B5EF4-FFF2-40B4-BE49-F238E27FC236}">
              <a16:creationId xmlns:a16="http://schemas.microsoft.com/office/drawing/2014/main" id="{14452B66-BED1-49F8-91A8-6F3B4980964D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77" name="Isosceles Triangle 1476">
          <a:extLst>
            <a:ext uri="{FF2B5EF4-FFF2-40B4-BE49-F238E27FC236}">
              <a16:creationId xmlns:a16="http://schemas.microsoft.com/office/drawing/2014/main" id="{0D19986A-E25C-4EA3-BBDF-588C1237A710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78" name="Isosceles Triangle 1477">
          <a:extLst>
            <a:ext uri="{FF2B5EF4-FFF2-40B4-BE49-F238E27FC236}">
              <a16:creationId xmlns:a16="http://schemas.microsoft.com/office/drawing/2014/main" id="{C2024E08-2045-4A6A-B6AA-970EFEF24062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79" name="Isosceles Triangle 1478">
          <a:extLst>
            <a:ext uri="{FF2B5EF4-FFF2-40B4-BE49-F238E27FC236}">
              <a16:creationId xmlns:a16="http://schemas.microsoft.com/office/drawing/2014/main" id="{0D90A2F4-F4B3-4E50-8257-2CB41FEF93B2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80" name="Isosceles Triangle 1479">
          <a:extLst>
            <a:ext uri="{FF2B5EF4-FFF2-40B4-BE49-F238E27FC236}">
              <a16:creationId xmlns:a16="http://schemas.microsoft.com/office/drawing/2014/main" id="{7EF7F41C-EF42-4D17-8D06-F10CE49925C7}"/>
            </a:ext>
          </a:extLst>
        </xdr:cNvPr>
        <xdr:cNvSpPr/>
      </xdr:nvSpPr>
      <xdr:spPr>
        <a:xfrm rot="10800000">
          <a:off x="14088917" y="59568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481" name="Isosceles Triangle 1480">
          <a:extLst>
            <a:ext uri="{FF2B5EF4-FFF2-40B4-BE49-F238E27FC236}">
              <a16:creationId xmlns:a16="http://schemas.microsoft.com/office/drawing/2014/main" id="{274F5B7C-B0D9-4507-AD4A-0D81400CB1D7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82" name="Isosceles Triangle 1481">
          <a:extLst>
            <a:ext uri="{FF2B5EF4-FFF2-40B4-BE49-F238E27FC236}">
              <a16:creationId xmlns:a16="http://schemas.microsoft.com/office/drawing/2014/main" id="{84CCA712-0758-4156-B426-71BA6E7C00F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83" name="Isosceles Triangle 1482">
          <a:extLst>
            <a:ext uri="{FF2B5EF4-FFF2-40B4-BE49-F238E27FC236}">
              <a16:creationId xmlns:a16="http://schemas.microsoft.com/office/drawing/2014/main" id="{3080DE8D-AB56-439B-B82D-66CD3332A3D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84" name="Isosceles Triangle 1483">
          <a:extLst>
            <a:ext uri="{FF2B5EF4-FFF2-40B4-BE49-F238E27FC236}">
              <a16:creationId xmlns:a16="http://schemas.microsoft.com/office/drawing/2014/main" id="{09EF7B9C-D19C-4F0A-9D5C-3E7B8E710A0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485" name="Isosceles Triangle 1484">
          <a:extLst>
            <a:ext uri="{FF2B5EF4-FFF2-40B4-BE49-F238E27FC236}">
              <a16:creationId xmlns:a16="http://schemas.microsoft.com/office/drawing/2014/main" id="{CE1945F3-AC20-4D1D-8F71-9BABBDDCE2C1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486" name="Isosceles Triangle 1485">
          <a:extLst>
            <a:ext uri="{FF2B5EF4-FFF2-40B4-BE49-F238E27FC236}">
              <a16:creationId xmlns:a16="http://schemas.microsoft.com/office/drawing/2014/main" id="{91739C38-483C-4F0F-B336-B1F318C79F7F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487" name="Isosceles Triangle 1486">
          <a:extLst>
            <a:ext uri="{FF2B5EF4-FFF2-40B4-BE49-F238E27FC236}">
              <a16:creationId xmlns:a16="http://schemas.microsoft.com/office/drawing/2014/main" id="{A4BDEF75-54CA-4A47-ABFD-FEBB69F2DC0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88" name="Isosceles Triangle 1487">
          <a:extLst>
            <a:ext uri="{FF2B5EF4-FFF2-40B4-BE49-F238E27FC236}">
              <a16:creationId xmlns:a16="http://schemas.microsoft.com/office/drawing/2014/main" id="{0368AD04-B3A6-4F37-9288-52A5F8BF7DF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89" name="Isosceles Triangle 1488">
          <a:extLst>
            <a:ext uri="{FF2B5EF4-FFF2-40B4-BE49-F238E27FC236}">
              <a16:creationId xmlns:a16="http://schemas.microsoft.com/office/drawing/2014/main" id="{A6CF2565-EB87-459E-AC03-AED2D80A53C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90" name="Isosceles Triangle 1489">
          <a:extLst>
            <a:ext uri="{FF2B5EF4-FFF2-40B4-BE49-F238E27FC236}">
              <a16:creationId xmlns:a16="http://schemas.microsoft.com/office/drawing/2014/main" id="{3DA3B1CB-59AB-429D-837B-87DBDD8E9F1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91" name="Isosceles Triangle 1490">
          <a:extLst>
            <a:ext uri="{FF2B5EF4-FFF2-40B4-BE49-F238E27FC236}">
              <a16:creationId xmlns:a16="http://schemas.microsoft.com/office/drawing/2014/main" id="{903A4EAD-50A4-475E-8D1C-D44FA89B4D9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92" name="Isosceles Triangle 1491">
          <a:extLst>
            <a:ext uri="{FF2B5EF4-FFF2-40B4-BE49-F238E27FC236}">
              <a16:creationId xmlns:a16="http://schemas.microsoft.com/office/drawing/2014/main" id="{65E97009-3353-46C8-9835-5F00329126C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93" name="Isosceles Triangle 1492">
          <a:extLst>
            <a:ext uri="{FF2B5EF4-FFF2-40B4-BE49-F238E27FC236}">
              <a16:creationId xmlns:a16="http://schemas.microsoft.com/office/drawing/2014/main" id="{56D9803D-EEF1-4CF8-8410-47DAD5E69F2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94" name="Isosceles Triangle 1493">
          <a:extLst>
            <a:ext uri="{FF2B5EF4-FFF2-40B4-BE49-F238E27FC236}">
              <a16:creationId xmlns:a16="http://schemas.microsoft.com/office/drawing/2014/main" id="{FA3035CD-D45D-4168-8473-A76CDE642DE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95" name="Isosceles Triangle 1494">
          <a:extLst>
            <a:ext uri="{FF2B5EF4-FFF2-40B4-BE49-F238E27FC236}">
              <a16:creationId xmlns:a16="http://schemas.microsoft.com/office/drawing/2014/main" id="{F648E71E-11EA-487A-B77E-E22D60A83ED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96" name="Isosceles Triangle 1495">
          <a:extLst>
            <a:ext uri="{FF2B5EF4-FFF2-40B4-BE49-F238E27FC236}">
              <a16:creationId xmlns:a16="http://schemas.microsoft.com/office/drawing/2014/main" id="{28A9179A-B75B-4447-857C-A1F08FCB829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497" name="Isosceles Triangle 1496">
          <a:extLst>
            <a:ext uri="{FF2B5EF4-FFF2-40B4-BE49-F238E27FC236}">
              <a16:creationId xmlns:a16="http://schemas.microsoft.com/office/drawing/2014/main" id="{1513880D-4B81-43AD-8A01-A93279BCE65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498" name="Isosceles Triangle 1497">
          <a:extLst>
            <a:ext uri="{FF2B5EF4-FFF2-40B4-BE49-F238E27FC236}">
              <a16:creationId xmlns:a16="http://schemas.microsoft.com/office/drawing/2014/main" id="{EE7FCC37-6D9B-4025-856B-71D159688FEB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499" name="Isosceles Triangle 1498">
          <a:extLst>
            <a:ext uri="{FF2B5EF4-FFF2-40B4-BE49-F238E27FC236}">
              <a16:creationId xmlns:a16="http://schemas.microsoft.com/office/drawing/2014/main" id="{28526FBC-8727-4500-9EB2-11DE1A3F896F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500" name="Isosceles Triangle 1499">
          <a:extLst>
            <a:ext uri="{FF2B5EF4-FFF2-40B4-BE49-F238E27FC236}">
              <a16:creationId xmlns:a16="http://schemas.microsoft.com/office/drawing/2014/main" id="{C9DE6E3F-B9EF-47E6-8E23-BE549A3D2C6A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501" name="Isosceles Triangle 1500">
          <a:extLst>
            <a:ext uri="{FF2B5EF4-FFF2-40B4-BE49-F238E27FC236}">
              <a16:creationId xmlns:a16="http://schemas.microsoft.com/office/drawing/2014/main" id="{586B8027-9AC7-46BA-8754-A46B3CCDE54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502" name="Isosceles Triangle 1501">
          <a:extLst>
            <a:ext uri="{FF2B5EF4-FFF2-40B4-BE49-F238E27FC236}">
              <a16:creationId xmlns:a16="http://schemas.microsoft.com/office/drawing/2014/main" id="{2636853A-3D75-43DA-B1D7-79E0E193A8DA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503" name="Isosceles Triangle 1502">
          <a:extLst>
            <a:ext uri="{FF2B5EF4-FFF2-40B4-BE49-F238E27FC236}">
              <a16:creationId xmlns:a16="http://schemas.microsoft.com/office/drawing/2014/main" id="{87AE0323-1610-40EC-9AFA-9225B202817C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504" name="Isosceles Triangle 1503">
          <a:extLst>
            <a:ext uri="{FF2B5EF4-FFF2-40B4-BE49-F238E27FC236}">
              <a16:creationId xmlns:a16="http://schemas.microsoft.com/office/drawing/2014/main" id="{A362CB1A-607F-42F6-B9B0-0A423D1BB564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505" name="Isosceles Triangle 1504">
          <a:extLst>
            <a:ext uri="{FF2B5EF4-FFF2-40B4-BE49-F238E27FC236}">
              <a16:creationId xmlns:a16="http://schemas.microsoft.com/office/drawing/2014/main" id="{FA8AAFC2-C79D-42D2-A1AF-1C55D5E81013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506" name="Isosceles Triangle 1505">
          <a:extLst>
            <a:ext uri="{FF2B5EF4-FFF2-40B4-BE49-F238E27FC236}">
              <a16:creationId xmlns:a16="http://schemas.microsoft.com/office/drawing/2014/main" id="{7A266BF4-36EB-40D3-A534-CB22BE34E3EA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07" name="Isosceles Triangle 1506">
          <a:extLst>
            <a:ext uri="{FF2B5EF4-FFF2-40B4-BE49-F238E27FC236}">
              <a16:creationId xmlns:a16="http://schemas.microsoft.com/office/drawing/2014/main" id="{F03DA286-48CA-45B6-A277-7AFD6EF749E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08" name="Isosceles Triangle 1507">
          <a:extLst>
            <a:ext uri="{FF2B5EF4-FFF2-40B4-BE49-F238E27FC236}">
              <a16:creationId xmlns:a16="http://schemas.microsoft.com/office/drawing/2014/main" id="{480CD1FE-0A1E-4F33-B1E0-7B2C4FE9514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09" name="Isosceles Triangle 1508">
          <a:extLst>
            <a:ext uri="{FF2B5EF4-FFF2-40B4-BE49-F238E27FC236}">
              <a16:creationId xmlns:a16="http://schemas.microsoft.com/office/drawing/2014/main" id="{C5AC92D5-D432-477F-B054-EA4C9A67FB0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10" name="Isosceles Triangle 1509">
          <a:extLst>
            <a:ext uri="{FF2B5EF4-FFF2-40B4-BE49-F238E27FC236}">
              <a16:creationId xmlns:a16="http://schemas.microsoft.com/office/drawing/2014/main" id="{A215FAEA-BBD7-4AC9-9C34-F430707E05B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11" name="Isosceles Triangle 1510">
          <a:extLst>
            <a:ext uri="{FF2B5EF4-FFF2-40B4-BE49-F238E27FC236}">
              <a16:creationId xmlns:a16="http://schemas.microsoft.com/office/drawing/2014/main" id="{A0D065A9-C0F0-46B1-AF0D-2C467B1E661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12" name="Isosceles Triangle 1511">
          <a:extLst>
            <a:ext uri="{FF2B5EF4-FFF2-40B4-BE49-F238E27FC236}">
              <a16:creationId xmlns:a16="http://schemas.microsoft.com/office/drawing/2014/main" id="{C146AC94-E991-4B88-896C-41519653C25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13" name="Isosceles Triangle 1512">
          <a:extLst>
            <a:ext uri="{FF2B5EF4-FFF2-40B4-BE49-F238E27FC236}">
              <a16:creationId xmlns:a16="http://schemas.microsoft.com/office/drawing/2014/main" id="{0705A41B-C3F4-412E-942E-BD50CAA0BFC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14" name="Isosceles Triangle 1513">
          <a:extLst>
            <a:ext uri="{FF2B5EF4-FFF2-40B4-BE49-F238E27FC236}">
              <a16:creationId xmlns:a16="http://schemas.microsoft.com/office/drawing/2014/main" id="{28214E08-D9FC-4BD0-AB71-1F4AADB7875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15" name="Isosceles Triangle 1514">
          <a:extLst>
            <a:ext uri="{FF2B5EF4-FFF2-40B4-BE49-F238E27FC236}">
              <a16:creationId xmlns:a16="http://schemas.microsoft.com/office/drawing/2014/main" id="{40E4B90D-1A5E-463E-925D-E9659AED7FA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16" name="Isosceles Triangle 1515">
          <a:extLst>
            <a:ext uri="{FF2B5EF4-FFF2-40B4-BE49-F238E27FC236}">
              <a16:creationId xmlns:a16="http://schemas.microsoft.com/office/drawing/2014/main" id="{019BD8F0-16FD-4589-8BAB-719B046766A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17" name="Isosceles Triangle 1516">
          <a:extLst>
            <a:ext uri="{FF2B5EF4-FFF2-40B4-BE49-F238E27FC236}">
              <a16:creationId xmlns:a16="http://schemas.microsoft.com/office/drawing/2014/main" id="{418F30CA-EC3E-4224-8C25-00B3767C403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18" name="Isosceles Triangle 1517">
          <a:extLst>
            <a:ext uri="{FF2B5EF4-FFF2-40B4-BE49-F238E27FC236}">
              <a16:creationId xmlns:a16="http://schemas.microsoft.com/office/drawing/2014/main" id="{2CC4051D-DC46-4C69-97F2-64114A8D22B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19" name="Isosceles Triangle 1518">
          <a:extLst>
            <a:ext uri="{FF2B5EF4-FFF2-40B4-BE49-F238E27FC236}">
              <a16:creationId xmlns:a16="http://schemas.microsoft.com/office/drawing/2014/main" id="{B1E3E323-1C60-4E70-B015-2EF3A8D10FB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20" name="Isosceles Triangle 1519">
          <a:extLst>
            <a:ext uri="{FF2B5EF4-FFF2-40B4-BE49-F238E27FC236}">
              <a16:creationId xmlns:a16="http://schemas.microsoft.com/office/drawing/2014/main" id="{65ED05EC-25BB-475E-962A-D97FDBD1FDC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21" name="Isosceles Triangle 1520">
          <a:extLst>
            <a:ext uri="{FF2B5EF4-FFF2-40B4-BE49-F238E27FC236}">
              <a16:creationId xmlns:a16="http://schemas.microsoft.com/office/drawing/2014/main" id="{39CA4571-A98D-4CEC-9D46-ABF6EB577A8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22" name="Isosceles Triangle 1521">
          <a:extLst>
            <a:ext uri="{FF2B5EF4-FFF2-40B4-BE49-F238E27FC236}">
              <a16:creationId xmlns:a16="http://schemas.microsoft.com/office/drawing/2014/main" id="{FD59C9B0-90C7-451F-8865-39E0952EE1F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23" name="Isosceles Triangle 1522">
          <a:extLst>
            <a:ext uri="{FF2B5EF4-FFF2-40B4-BE49-F238E27FC236}">
              <a16:creationId xmlns:a16="http://schemas.microsoft.com/office/drawing/2014/main" id="{38F49658-FBC1-4F62-AB2B-E610E42355F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24" name="Isosceles Triangle 1523">
          <a:extLst>
            <a:ext uri="{FF2B5EF4-FFF2-40B4-BE49-F238E27FC236}">
              <a16:creationId xmlns:a16="http://schemas.microsoft.com/office/drawing/2014/main" id="{0EB23F82-5E9A-4096-A577-AD33B4B1ABD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25" name="Isosceles Triangle 1524">
          <a:extLst>
            <a:ext uri="{FF2B5EF4-FFF2-40B4-BE49-F238E27FC236}">
              <a16:creationId xmlns:a16="http://schemas.microsoft.com/office/drawing/2014/main" id="{B84350C6-9807-495B-9C97-90B43767F67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26" name="Isosceles Triangle 1525">
          <a:extLst>
            <a:ext uri="{FF2B5EF4-FFF2-40B4-BE49-F238E27FC236}">
              <a16:creationId xmlns:a16="http://schemas.microsoft.com/office/drawing/2014/main" id="{DD68B881-7550-4A05-8BAE-04A92816F8E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27" name="Isosceles Triangle 1526">
          <a:extLst>
            <a:ext uri="{FF2B5EF4-FFF2-40B4-BE49-F238E27FC236}">
              <a16:creationId xmlns:a16="http://schemas.microsoft.com/office/drawing/2014/main" id="{EB31F3F6-4E25-4A18-8840-26A8313B5DB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28" name="Isosceles Triangle 1527">
          <a:extLst>
            <a:ext uri="{FF2B5EF4-FFF2-40B4-BE49-F238E27FC236}">
              <a16:creationId xmlns:a16="http://schemas.microsoft.com/office/drawing/2014/main" id="{650AE582-3FC2-4533-A9DD-7A3FD538816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29" name="Isosceles Triangle 1528">
          <a:extLst>
            <a:ext uri="{FF2B5EF4-FFF2-40B4-BE49-F238E27FC236}">
              <a16:creationId xmlns:a16="http://schemas.microsoft.com/office/drawing/2014/main" id="{44949208-0399-448C-8B48-B41D6E2A07F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30" name="Isosceles Triangle 1529">
          <a:extLst>
            <a:ext uri="{FF2B5EF4-FFF2-40B4-BE49-F238E27FC236}">
              <a16:creationId xmlns:a16="http://schemas.microsoft.com/office/drawing/2014/main" id="{5C573056-F25A-4FAE-8113-71EAAD83098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31" name="Isosceles Triangle 1530">
          <a:extLst>
            <a:ext uri="{FF2B5EF4-FFF2-40B4-BE49-F238E27FC236}">
              <a16:creationId xmlns:a16="http://schemas.microsoft.com/office/drawing/2014/main" id="{158A9689-F60D-4E95-BBD5-7F3ADDA35B3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32" name="Isosceles Triangle 1531">
          <a:extLst>
            <a:ext uri="{FF2B5EF4-FFF2-40B4-BE49-F238E27FC236}">
              <a16:creationId xmlns:a16="http://schemas.microsoft.com/office/drawing/2014/main" id="{DF4115A4-98E6-4DD2-8C9D-2CECC71A1D7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33" name="Isosceles Triangle 1532">
          <a:extLst>
            <a:ext uri="{FF2B5EF4-FFF2-40B4-BE49-F238E27FC236}">
              <a16:creationId xmlns:a16="http://schemas.microsoft.com/office/drawing/2014/main" id="{E23109CF-082E-4187-A768-EB582262BDB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34" name="Isosceles Triangle 1533">
          <a:extLst>
            <a:ext uri="{FF2B5EF4-FFF2-40B4-BE49-F238E27FC236}">
              <a16:creationId xmlns:a16="http://schemas.microsoft.com/office/drawing/2014/main" id="{3A9DC331-5E5B-4BEB-B182-457349AF778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35" name="Isosceles Triangle 1534">
          <a:extLst>
            <a:ext uri="{FF2B5EF4-FFF2-40B4-BE49-F238E27FC236}">
              <a16:creationId xmlns:a16="http://schemas.microsoft.com/office/drawing/2014/main" id="{DF901B98-E93E-41BC-91B3-5F43BBBA1A6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36" name="Isosceles Triangle 1535">
          <a:extLst>
            <a:ext uri="{FF2B5EF4-FFF2-40B4-BE49-F238E27FC236}">
              <a16:creationId xmlns:a16="http://schemas.microsoft.com/office/drawing/2014/main" id="{068FC86E-1735-4CE4-8A32-EBC9F70EA15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37" name="Isosceles Triangle 1536">
          <a:extLst>
            <a:ext uri="{FF2B5EF4-FFF2-40B4-BE49-F238E27FC236}">
              <a16:creationId xmlns:a16="http://schemas.microsoft.com/office/drawing/2014/main" id="{3F872A11-C839-452A-9864-69E13AE4473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38" name="Isosceles Triangle 1537">
          <a:extLst>
            <a:ext uri="{FF2B5EF4-FFF2-40B4-BE49-F238E27FC236}">
              <a16:creationId xmlns:a16="http://schemas.microsoft.com/office/drawing/2014/main" id="{5672893C-6D88-4FD1-8252-890DBA10B61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39" name="Isosceles Triangle 1538">
          <a:extLst>
            <a:ext uri="{FF2B5EF4-FFF2-40B4-BE49-F238E27FC236}">
              <a16:creationId xmlns:a16="http://schemas.microsoft.com/office/drawing/2014/main" id="{CA5600A5-23AD-42D1-A4CF-80565E7ED08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40" name="Isosceles Triangle 1539">
          <a:extLst>
            <a:ext uri="{FF2B5EF4-FFF2-40B4-BE49-F238E27FC236}">
              <a16:creationId xmlns:a16="http://schemas.microsoft.com/office/drawing/2014/main" id="{62579882-AE19-46EB-B143-9F83BA34D66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541" name="Isosceles Triangle 1540">
          <a:extLst>
            <a:ext uri="{FF2B5EF4-FFF2-40B4-BE49-F238E27FC236}">
              <a16:creationId xmlns:a16="http://schemas.microsoft.com/office/drawing/2014/main" id="{07E54396-7EEA-4403-A4A8-9DA0E306ED7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542" name="Isosceles Triangle 1541">
          <a:extLst>
            <a:ext uri="{FF2B5EF4-FFF2-40B4-BE49-F238E27FC236}">
              <a16:creationId xmlns:a16="http://schemas.microsoft.com/office/drawing/2014/main" id="{61CB4067-0CE5-45E8-8D0C-ABEE8FCA64E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43" name="Isosceles Triangle 1542">
          <a:extLst>
            <a:ext uri="{FF2B5EF4-FFF2-40B4-BE49-F238E27FC236}">
              <a16:creationId xmlns:a16="http://schemas.microsoft.com/office/drawing/2014/main" id="{61A2A794-EA65-44D2-9BE4-74E4BF14E7B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44" name="Isosceles Triangle 1543">
          <a:extLst>
            <a:ext uri="{FF2B5EF4-FFF2-40B4-BE49-F238E27FC236}">
              <a16:creationId xmlns:a16="http://schemas.microsoft.com/office/drawing/2014/main" id="{B58282AB-78EA-4654-95FA-A1CE80041D6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45" name="Isosceles Triangle 1544">
          <a:extLst>
            <a:ext uri="{FF2B5EF4-FFF2-40B4-BE49-F238E27FC236}">
              <a16:creationId xmlns:a16="http://schemas.microsoft.com/office/drawing/2014/main" id="{780B9AA8-7E4D-4B18-85F3-3D8F3CB68B1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546" name="Isosceles Triangle 1545">
          <a:extLst>
            <a:ext uri="{FF2B5EF4-FFF2-40B4-BE49-F238E27FC236}">
              <a16:creationId xmlns:a16="http://schemas.microsoft.com/office/drawing/2014/main" id="{3AEE9FDB-DEA9-4F40-BB63-0A14B4C11A2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547" name="Isosceles Triangle 1546">
          <a:extLst>
            <a:ext uri="{FF2B5EF4-FFF2-40B4-BE49-F238E27FC236}">
              <a16:creationId xmlns:a16="http://schemas.microsoft.com/office/drawing/2014/main" id="{181ADACB-B13B-4CE5-84A3-158F23944DCA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548" name="Isosceles Triangle 1547">
          <a:extLst>
            <a:ext uri="{FF2B5EF4-FFF2-40B4-BE49-F238E27FC236}">
              <a16:creationId xmlns:a16="http://schemas.microsoft.com/office/drawing/2014/main" id="{9BC4469F-DDEC-4AE4-A070-A61B9B2557B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49" name="Isosceles Triangle 1548">
          <a:extLst>
            <a:ext uri="{FF2B5EF4-FFF2-40B4-BE49-F238E27FC236}">
              <a16:creationId xmlns:a16="http://schemas.microsoft.com/office/drawing/2014/main" id="{DD96FCCC-765C-4249-AC0B-BC4DCF0E0EF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50" name="Isosceles Triangle 1549">
          <a:extLst>
            <a:ext uri="{FF2B5EF4-FFF2-40B4-BE49-F238E27FC236}">
              <a16:creationId xmlns:a16="http://schemas.microsoft.com/office/drawing/2014/main" id="{CE715C66-82CE-4CED-9193-8AB4EB067D0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51" name="Isosceles Triangle 1550">
          <a:extLst>
            <a:ext uri="{FF2B5EF4-FFF2-40B4-BE49-F238E27FC236}">
              <a16:creationId xmlns:a16="http://schemas.microsoft.com/office/drawing/2014/main" id="{E7E5F85E-D1A3-41EE-901A-E7453717E00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52" name="Isosceles Triangle 1551">
          <a:extLst>
            <a:ext uri="{FF2B5EF4-FFF2-40B4-BE49-F238E27FC236}">
              <a16:creationId xmlns:a16="http://schemas.microsoft.com/office/drawing/2014/main" id="{755023B4-2D77-4387-AEFC-A181D44D010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53" name="Isosceles Triangle 1552">
          <a:extLst>
            <a:ext uri="{FF2B5EF4-FFF2-40B4-BE49-F238E27FC236}">
              <a16:creationId xmlns:a16="http://schemas.microsoft.com/office/drawing/2014/main" id="{9094784B-A966-4A11-B146-88694EB33C6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54" name="Isosceles Triangle 1553">
          <a:extLst>
            <a:ext uri="{FF2B5EF4-FFF2-40B4-BE49-F238E27FC236}">
              <a16:creationId xmlns:a16="http://schemas.microsoft.com/office/drawing/2014/main" id="{2E47C205-F74E-404C-89F6-B2332C3C092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55" name="Isosceles Triangle 1554">
          <a:extLst>
            <a:ext uri="{FF2B5EF4-FFF2-40B4-BE49-F238E27FC236}">
              <a16:creationId xmlns:a16="http://schemas.microsoft.com/office/drawing/2014/main" id="{7831FCA6-F4F8-4D37-9276-7831ECF2A32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56" name="Isosceles Triangle 1555">
          <a:extLst>
            <a:ext uri="{FF2B5EF4-FFF2-40B4-BE49-F238E27FC236}">
              <a16:creationId xmlns:a16="http://schemas.microsoft.com/office/drawing/2014/main" id="{767990FC-25CA-46A1-BABA-D6C1B0F3CF4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57" name="Isosceles Triangle 1556">
          <a:extLst>
            <a:ext uri="{FF2B5EF4-FFF2-40B4-BE49-F238E27FC236}">
              <a16:creationId xmlns:a16="http://schemas.microsoft.com/office/drawing/2014/main" id="{9C62C780-3BCB-41C5-8932-F7FC2237F1E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58" name="Isosceles Triangle 1557">
          <a:extLst>
            <a:ext uri="{FF2B5EF4-FFF2-40B4-BE49-F238E27FC236}">
              <a16:creationId xmlns:a16="http://schemas.microsoft.com/office/drawing/2014/main" id="{6424E2D1-1361-4D8E-9BA8-1FAB761191B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559" name="Isosceles Triangle 1558">
          <a:extLst>
            <a:ext uri="{FF2B5EF4-FFF2-40B4-BE49-F238E27FC236}">
              <a16:creationId xmlns:a16="http://schemas.microsoft.com/office/drawing/2014/main" id="{DB49D8E8-FF41-4ABF-B819-A9B94F876490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560" name="Isosceles Triangle 1559">
          <a:extLst>
            <a:ext uri="{FF2B5EF4-FFF2-40B4-BE49-F238E27FC236}">
              <a16:creationId xmlns:a16="http://schemas.microsoft.com/office/drawing/2014/main" id="{908CDE12-5EF4-4D78-81D4-C312FAB9B7E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561" name="Isosceles Triangle 1560">
          <a:extLst>
            <a:ext uri="{FF2B5EF4-FFF2-40B4-BE49-F238E27FC236}">
              <a16:creationId xmlns:a16="http://schemas.microsoft.com/office/drawing/2014/main" id="{8A3C1CE1-D4E9-4E91-A42B-F2C700D7CC30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562" name="Isosceles Triangle 1561">
          <a:extLst>
            <a:ext uri="{FF2B5EF4-FFF2-40B4-BE49-F238E27FC236}">
              <a16:creationId xmlns:a16="http://schemas.microsoft.com/office/drawing/2014/main" id="{02E29F69-A64A-448F-B9A2-195D7E4D9472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563" name="Isosceles Triangle 1562">
          <a:extLst>
            <a:ext uri="{FF2B5EF4-FFF2-40B4-BE49-F238E27FC236}">
              <a16:creationId xmlns:a16="http://schemas.microsoft.com/office/drawing/2014/main" id="{ABF74408-1582-44F9-9F9B-238F02A15002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564" name="Isosceles Triangle 1563">
          <a:extLst>
            <a:ext uri="{FF2B5EF4-FFF2-40B4-BE49-F238E27FC236}">
              <a16:creationId xmlns:a16="http://schemas.microsoft.com/office/drawing/2014/main" id="{326D746E-DC9C-4ADF-B99E-A54FDB325242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565" name="Isosceles Triangle 1564">
          <a:extLst>
            <a:ext uri="{FF2B5EF4-FFF2-40B4-BE49-F238E27FC236}">
              <a16:creationId xmlns:a16="http://schemas.microsoft.com/office/drawing/2014/main" id="{A772967B-5256-4E97-B31F-EF16FC1981B0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566" name="Isosceles Triangle 1565">
          <a:extLst>
            <a:ext uri="{FF2B5EF4-FFF2-40B4-BE49-F238E27FC236}">
              <a16:creationId xmlns:a16="http://schemas.microsoft.com/office/drawing/2014/main" id="{B19A746F-8627-4EB4-BB23-1F6DAD589A73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567" name="Isosceles Triangle 1566">
          <a:extLst>
            <a:ext uri="{FF2B5EF4-FFF2-40B4-BE49-F238E27FC236}">
              <a16:creationId xmlns:a16="http://schemas.microsoft.com/office/drawing/2014/main" id="{CB02A5DA-DFE7-4F54-851A-085387E7099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68" name="Isosceles Triangle 1567">
          <a:extLst>
            <a:ext uri="{FF2B5EF4-FFF2-40B4-BE49-F238E27FC236}">
              <a16:creationId xmlns:a16="http://schemas.microsoft.com/office/drawing/2014/main" id="{F4FDDCF2-6078-44FD-AD9E-7D5010B6F2F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69" name="Isosceles Triangle 1568">
          <a:extLst>
            <a:ext uri="{FF2B5EF4-FFF2-40B4-BE49-F238E27FC236}">
              <a16:creationId xmlns:a16="http://schemas.microsoft.com/office/drawing/2014/main" id="{B7A8F6B3-973D-434E-A859-0979A011E57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70" name="Isosceles Triangle 1569">
          <a:extLst>
            <a:ext uri="{FF2B5EF4-FFF2-40B4-BE49-F238E27FC236}">
              <a16:creationId xmlns:a16="http://schemas.microsoft.com/office/drawing/2014/main" id="{FC10D1A7-A0DE-4D98-B0C3-BC8C43A9947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71" name="Isosceles Triangle 1570">
          <a:extLst>
            <a:ext uri="{FF2B5EF4-FFF2-40B4-BE49-F238E27FC236}">
              <a16:creationId xmlns:a16="http://schemas.microsoft.com/office/drawing/2014/main" id="{D63AE34D-D166-4AA2-9903-BC92BC84631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72" name="Isosceles Triangle 1571">
          <a:extLst>
            <a:ext uri="{FF2B5EF4-FFF2-40B4-BE49-F238E27FC236}">
              <a16:creationId xmlns:a16="http://schemas.microsoft.com/office/drawing/2014/main" id="{3F196D7C-8183-4791-BC4C-6F44A80F734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73" name="Isosceles Triangle 1572">
          <a:extLst>
            <a:ext uri="{FF2B5EF4-FFF2-40B4-BE49-F238E27FC236}">
              <a16:creationId xmlns:a16="http://schemas.microsoft.com/office/drawing/2014/main" id="{3BDAC829-C3B0-49E6-A6F1-665B3711E71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74" name="Isosceles Triangle 1573">
          <a:extLst>
            <a:ext uri="{FF2B5EF4-FFF2-40B4-BE49-F238E27FC236}">
              <a16:creationId xmlns:a16="http://schemas.microsoft.com/office/drawing/2014/main" id="{7DD48EC1-48AF-4B02-BB85-9B81E6CDF2C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75" name="Isosceles Triangle 1574">
          <a:extLst>
            <a:ext uri="{FF2B5EF4-FFF2-40B4-BE49-F238E27FC236}">
              <a16:creationId xmlns:a16="http://schemas.microsoft.com/office/drawing/2014/main" id="{640D0E38-1DDC-45DF-A14D-5008E0B145B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76" name="Isosceles Triangle 1575">
          <a:extLst>
            <a:ext uri="{FF2B5EF4-FFF2-40B4-BE49-F238E27FC236}">
              <a16:creationId xmlns:a16="http://schemas.microsoft.com/office/drawing/2014/main" id="{7A542E8B-022C-4862-94CC-F29D2475531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77" name="Isosceles Triangle 1576">
          <a:extLst>
            <a:ext uri="{FF2B5EF4-FFF2-40B4-BE49-F238E27FC236}">
              <a16:creationId xmlns:a16="http://schemas.microsoft.com/office/drawing/2014/main" id="{30787C49-9B04-48DA-9DCD-C2F48EA9563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78" name="Isosceles Triangle 1577">
          <a:extLst>
            <a:ext uri="{FF2B5EF4-FFF2-40B4-BE49-F238E27FC236}">
              <a16:creationId xmlns:a16="http://schemas.microsoft.com/office/drawing/2014/main" id="{05196384-FAEA-49E8-A253-4C110473A1D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79" name="Isosceles Triangle 1578">
          <a:extLst>
            <a:ext uri="{FF2B5EF4-FFF2-40B4-BE49-F238E27FC236}">
              <a16:creationId xmlns:a16="http://schemas.microsoft.com/office/drawing/2014/main" id="{22454B0C-72F9-42ED-9AB5-CF4F52C4190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80" name="Isosceles Triangle 1579">
          <a:extLst>
            <a:ext uri="{FF2B5EF4-FFF2-40B4-BE49-F238E27FC236}">
              <a16:creationId xmlns:a16="http://schemas.microsoft.com/office/drawing/2014/main" id="{34B81B31-1414-4F1D-A7B1-D3AE45F9481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81" name="Isosceles Triangle 1580">
          <a:extLst>
            <a:ext uri="{FF2B5EF4-FFF2-40B4-BE49-F238E27FC236}">
              <a16:creationId xmlns:a16="http://schemas.microsoft.com/office/drawing/2014/main" id="{82C213F1-EA7E-4D2B-9B52-404B37C9F31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82" name="Isosceles Triangle 1581">
          <a:extLst>
            <a:ext uri="{FF2B5EF4-FFF2-40B4-BE49-F238E27FC236}">
              <a16:creationId xmlns:a16="http://schemas.microsoft.com/office/drawing/2014/main" id="{D359BD1D-ABC4-4B08-B543-E348B6C3B57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83" name="Isosceles Triangle 1582">
          <a:extLst>
            <a:ext uri="{FF2B5EF4-FFF2-40B4-BE49-F238E27FC236}">
              <a16:creationId xmlns:a16="http://schemas.microsoft.com/office/drawing/2014/main" id="{4D218922-7649-457D-A694-0F67DFB9C44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84" name="Isosceles Triangle 1583">
          <a:extLst>
            <a:ext uri="{FF2B5EF4-FFF2-40B4-BE49-F238E27FC236}">
              <a16:creationId xmlns:a16="http://schemas.microsoft.com/office/drawing/2014/main" id="{1CDED610-732A-4AAE-BEED-252FFEB0892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85" name="Isosceles Triangle 1584">
          <a:extLst>
            <a:ext uri="{FF2B5EF4-FFF2-40B4-BE49-F238E27FC236}">
              <a16:creationId xmlns:a16="http://schemas.microsoft.com/office/drawing/2014/main" id="{2074D855-0A77-4D2E-A48F-9E63A7C7D3D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86" name="Isosceles Triangle 1585">
          <a:extLst>
            <a:ext uri="{FF2B5EF4-FFF2-40B4-BE49-F238E27FC236}">
              <a16:creationId xmlns:a16="http://schemas.microsoft.com/office/drawing/2014/main" id="{3FD140F5-048D-48DB-B8DC-F3C4FF97833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87" name="Isosceles Triangle 1586">
          <a:extLst>
            <a:ext uri="{FF2B5EF4-FFF2-40B4-BE49-F238E27FC236}">
              <a16:creationId xmlns:a16="http://schemas.microsoft.com/office/drawing/2014/main" id="{4CDB9BED-34FB-4CF3-BACD-F5F74298AD2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88" name="Isosceles Triangle 1587">
          <a:extLst>
            <a:ext uri="{FF2B5EF4-FFF2-40B4-BE49-F238E27FC236}">
              <a16:creationId xmlns:a16="http://schemas.microsoft.com/office/drawing/2014/main" id="{EB368697-E554-4708-B1FD-ADDCCE7AA57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89" name="Isosceles Triangle 1588">
          <a:extLst>
            <a:ext uri="{FF2B5EF4-FFF2-40B4-BE49-F238E27FC236}">
              <a16:creationId xmlns:a16="http://schemas.microsoft.com/office/drawing/2014/main" id="{9AD2E676-57D4-4B3B-80FA-61809729886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90" name="Isosceles Triangle 1589">
          <a:extLst>
            <a:ext uri="{FF2B5EF4-FFF2-40B4-BE49-F238E27FC236}">
              <a16:creationId xmlns:a16="http://schemas.microsoft.com/office/drawing/2014/main" id="{E8471D68-2F22-4D5C-95FE-07598B4ACD5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91" name="Isosceles Triangle 1590">
          <a:extLst>
            <a:ext uri="{FF2B5EF4-FFF2-40B4-BE49-F238E27FC236}">
              <a16:creationId xmlns:a16="http://schemas.microsoft.com/office/drawing/2014/main" id="{9A91A968-A7EE-4CAD-A167-0332A0D5448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92" name="Isosceles Triangle 1591">
          <a:extLst>
            <a:ext uri="{FF2B5EF4-FFF2-40B4-BE49-F238E27FC236}">
              <a16:creationId xmlns:a16="http://schemas.microsoft.com/office/drawing/2014/main" id="{042E9F6B-7E34-4AEB-85B6-6B967C6F438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93" name="Isosceles Triangle 1592">
          <a:extLst>
            <a:ext uri="{FF2B5EF4-FFF2-40B4-BE49-F238E27FC236}">
              <a16:creationId xmlns:a16="http://schemas.microsoft.com/office/drawing/2014/main" id="{40FA9CC7-1EE6-4753-9E99-A11778E4F65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94" name="Isosceles Triangle 1593">
          <a:extLst>
            <a:ext uri="{FF2B5EF4-FFF2-40B4-BE49-F238E27FC236}">
              <a16:creationId xmlns:a16="http://schemas.microsoft.com/office/drawing/2014/main" id="{22CA3168-5528-4C86-869F-57A492C8EDA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95" name="Isosceles Triangle 1594">
          <a:extLst>
            <a:ext uri="{FF2B5EF4-FFF2-40B4-BE49-F238E27FC236}">
              <a16:creationId xmlns:a16="http://schemas.microsoft.com/office/drawing/2014/main" id="{343B8DFC-18FC-4FC8-9BDA-98655A1DC35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96" name="Isosceles Triangle 1595">
          <a:extLst>
            <a:ext uri="{FF2B5EF4-FFF2-40B4-BE49-F238E27FC236}">
              <a16:creationId xmlns:a16="http://schemas.microsoft.com/office/drawing/2014/main" id="{67DBE3B0-E9E9-4468-962C-71C3437DEE9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97" name="Isosceles Triangle 1596">
          <a:extLst>
            <a:ext uri="{FF2B5EF4-FFF2-40B4-BE49-F238E27FC236}">
              <a16:creationId xmlns:a16="http://schemas.microsoft.com/office/drawing/2014/main" id="{71B0D8F8-656A-44C5-9382-31E32C3E9EA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98" name="Isosceles Triangle 1597">
          <a:extLst>
            <a:ext uri="{FF2B5EF4-FFF2-40B4-BE49-F238E27FC236}">
              <a16:creationId xmlns:a16="http://schemas.microsoft.com/office/drawing/2014/main" id="{4C414E9E-4ADB-4530-BDB5-C41E7BFAF84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599" name="Isosceles Triangle 1598">
          <a:extLst>
            <a:ext uri="{FF2B5EF4-FFF2-40B4-BE49-F238E27FC236}">
              <a16:creationId xmlns:a16="http://schemas.microsoft.com/office/drawing/2014/main" id="{0E21FFD2-CA8E-44FC-8C5D-49CC2573350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00" name="Isosceles Triangle 1599">
          <a:extLst>
            <a:ext uri="{FF2B5EF4-FFF2-40B4-BE49-F238E27FC236}">
              <a16:creationId xmlns:a16="http://schemas.microsoft.com/office/drawing/2014/main" id="{FC620068-19DE-4E55-A208-FF52963F715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01" name="Isosceles Triangle 1600">
          <a:extLst>
            <a:ext uri="{FF2B5EF4-FFF2-40B4-BE49-F238E27FC236}">
              <a16:creationId xmlns:a16="http://schemas.microsoft.com/office/drawing/2014/main" id="{F5AE1437-A444-431C-BEB2-65933D7818C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02" name="Isosceles Triangle 1601">
          <a:extLst>
            <a:ext uri="{FF2B5EF4-FFF2-40B4-BE49-F238E27FC236}">
              <a16:creationId xmlns:a16="http://schemas.microsoft.com/office/drawing/2014/main" id="{04184BF7-4815-42F2-A1F1-FD36D8ABD1F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603" name="Isosceles Triangle 1602">
          <a:extLst>
            <a:ext uri="{FF2B5EF4-FFF2-40B4-BE49-F238E27FC236}">
              <a16:creationId xmlns:a16="http://schemas.microsoft.com/office/drawing/2014/main" id="{6CCA7E1A-192C-41F9-8E61-719AAB3292A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04" name="Isosceles Triangle 1603">
          <a:extLst>
            <a:ext uri="{FF2B5EF4-FFF2-40B4-BE49-F238E27FC236}">
              <a16:creationId xmlns:a16="http://schemas.microsoft.com/office/drawing/2014/main" id="{8C8A09C1-7EF4-4E67-BECB-BC51D2BD3FB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05" name="Isosceles Triangle 1604">
          <a:extLst>
            <a:ext uri="{FF2B5EF4-FFF2-40B4-BE49-F238E27FC236}">
              <a16:creationId xmlns:a16="http://schemas.microsoft.com/office/drawing/2014/main" id="{693E3FB5-4E48-40E9-9959-B127BF13139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06" name="Isosceles Triangle 1605">
          <a:extLst>
            <a:ext uri="{FF2B5EF4-FFF2-40B4-BE49-F238E27FC236}">
              <a16:creationId xmlns:a16="http://schemas.microsoft.com/office/drawing/2014/main" id="{EA208DE9-D83A-4B4B-9CA6-489F1660927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607" name="Isosceles Triangle 1606">
          <a:extLst>
            <a:ext uri="{FF2B5EF4-FFF2-40B4-BE49-F238E27FC236}">
              <a16:creationId xmlns:a16="http://schemas.microsoft.com/office/drawing/2014/main" id="{CE52385F-C7BF-40BF-88BB-5763BAF754E4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608" name="Isosceles Triangle 1607">
          <a:extLst>
            <a:ext uri="{FF2B5EF4-FFF2-40B4-BE49-F238E27FC236}">
              <a16:creationId xmlns:a16="http://schemas.microsoft.com/office/drawing/2014/main" id="{4FD217F1-D902-40F5-9EBB-AFE9E5F5E9C4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609" name="Isosceles Triangle 1608">
          <a:extLst>
            <a:ext uri="{FF2B5EF4-FFF2-40B4-BE49-F238E27FC236}">
              <a16:creationId xmlns:a16="http://schemas.microsoft.com/office/drawing/2014/main" id="{21C78D89-9309-4812-8A69-4E6DDEA568E9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10" name="Isosceles Triangle 1609">
          <a:extLst>
            <a:ext uri="{FF2B5EF4-FFF2-40B4-BE49-F238E27FC236}">
              <a16:creationId xmlns:a16="http://schemas.microsoft.com/office/drawing/2014/main" id="{31421795-4236-4038-A82D-33060A93B69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11" name="Isosceles Triangle 1610">
          <a:extLst>
            <a:ext uri="{FF2B5EF4-FFF2-40B4-BE49-F238E27FC236}">
              <a16:creationId xmlns:a16="http://schemas.microsoft.com/office/drawing/2014/main" id="{6C25E236-6218-4F07-A700-259E5713184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12" name="Isosceles Triangle 1611">
          <a:extLst>
            <a:ext uri="{FF2B5EF4-FFF2-40B4-BE49-F238E27FC236}">
              <a16:creationId xmlns:a16="http://schemas.microsoft.com/office/drawing/2014/main" id="{E98E2543-6F2C-467F-94D3-EBBA1E2B737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13" name="Isosceles Triangle 1612">
          <a:extLst>
            <a:ext uri="{FF2B5EF4-FFF2-40B4-BE49-F238E27FC236}">
              <a16:creationId xmlns:a16="http://schemas.microsoft.com/office/drawing/2014/main" id="{B8F74EBC-590B-4E44-9298-D66304CBFCB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14" name="Isosceles Triangle 1613">
          <a:extLst>
            <a:ext uri="{FF2B5EF4-FFF2-40B4-BE49-F238E27FC236}">
              <a16:creationId xmlns:a16="http://schemas.microsoft.com/office/drawing/2014/main" id="{89934B7A-BA1D-41FC-8C4D-E01D1F003D6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15" name="Isosceles Triangle 1614">
          <a:extLst>
            <a:ext uri="{FF2B5EF4-FFF2-40B4-BE49-F238E27FC236}">
              <a16:creationId xmlns:a16="http://schemas.microsoft.com/office/drawing/2014/main" id="{0D2CE125-6497-4BDD-BE8D-EDE32C35038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16" name="Isosceles Triangle 1615">
          <a:extLst>
            <a:ext uri="{FF2B5EF4-FFF2-40B4-BE49-F238E27FC236}">
              <a16:creationId xmlns:a16="http://schemas.microsoft.com/office/drawing/2014/main" id="{5561CB19-BE29-47CC-A1E7-72423B2DBFB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17" name="Isosceles Triangle 1616">
          <a:extLst>
            <a:ext uri="{FF2B5EF4-FFF2-40B4-BE49-F238E27FC236}">
              <a16:creationId xmlns:a16="http://schemas.microsoft.com/office/drawing/2014/main" id="{D624F28D-BB46-4520-B8AA-7EB4AF8BDF5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18" name="Isosceles Triangle 1617">
          <a:extLst>
            <a:ext uri="{FF2B5EF4-FFF2-40B4-BE49-F238E27FC236}">
              <a16:creationId xmlns:a16="http://schemas.microsoft.com/office/drawing/2014/main" id="{4CC4BCE4-5B19-4E6F-9B5B-F5546F88DDE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19" name="Isosceles Triangle 1618">
          <a:extLst>
            <a:ext uri="{FF2B5EF4-FFF2-40B4-BE49-F238E27FC236}">
              <a16:creationId xmlns:a16="http://schemas.microsoft.com/office/drawing/2014/main" id="{461B75DB-9234-46DD-96C0-1545AD94C98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620" name="Isosceles Triangle 1619">
          <a:extLst>
            <a:ext uri="{FF2B5EF4-FFF2-40B4-BE49-F238E27FC236}">
              <a16:creationId xmlns:a16="http://schemas.microsoft.com/office/drawing/2014/main" id="{351BA898-E721-4716-BAF7-23EB42F27D1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621" name="Isosceles Triangle 1620">
          <a:extLst>
            <a:ext uri="{FF2B5EF4-FFF2-40B4-BE49-F238E27FC236}">
              <a16:creationId xmlns:a16="http://schemas.microsoft.com/office/drawing/2014/main" id="{B1617688-406C-453A-B96F-356FCA7E15C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622" name="Isosceles Triangle 1621">
          <a:extLst>
            <a:ext uri="{FF2B5EF4-FFF2-40B4-BE49-F238E27FC236}">
              <a16:creationId xmlns:a16="http://schemas.microsoft.com/office/drawing/2014/main" id="{9E375893-04F2-4796-8A86-E98E0C38D1A7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623" name="Isosceles Triangle 1622">
          <a:extLst>
            <a:ext uri="{FF2B5EF4-FFF2-40B4-BE49-F238E27FC236}">
              <a16:creationId xmlns:a16="http://schemas.microsoft.com/office/drawing/2014/main" id="{0BB3F329-3F38-4FE4-A1A0-5A14F5B29C82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624" name="Isosceles Triangle 1623">
          <a:extLst>
            <a:ext uri="{FF2B5EF4-FFF2-40B4-BE49-F238E27FC236}">
              <a16:creationId xmlns:a16="http://schemas.microsoft.com/office/drawing/2014/main" id="{E502880D-B6F6-4EB0-8321-9AF18033AD10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625" name="Isosceles Triangle 1624">
          <a:extLst>
            <a:ext uri="{FF2B5EF4-FFF2-40B4-BE49-F238E27FC236}">
              <a16:creationId xmlns:a16="http://schemas.microsoft.com/office/drawing/2014/main" id="{4E300710-F6F4-4D1C-B62C-91436B5C545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626" name="Isosceles Triangle 1625">
          <a:extLst>
            <a:ext uri="{FF2B5EF4-FFF2-40B4-BE49-F238E27FC236}">
              <a16:creationId xmlns:a16="http://schemas.microsoft.com/office/drawing/2014/main" id="{F0942E3B-0077-4DD3-B7D6-1510BF582D7F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627" name="Isosceles Triangle 1626">
          <a:extLst>
            <a:ext uri="{FF2B5EF4-FFF2-40B4-BE49-F238E27FC236}">
              <a16:creationId xmlns:a16="http://schemas.microsoft.com/office/drawing/2014/main" id="{B48653A3-03E9-460E-BE56-6448125DF121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628" name="Isosceles Triangle 1627">
          <a:extLst>
            <a:ext uri="{FF2B5EF4-FFF2-40B4-BE49-F238E27FC236}">
              <a16:creationId xmlns:a16="http://schemas.microsoft.com/office/drawing/2014/main" id="{CD70AA6E-D736-4F94-9272-4F8F2FFC1F0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29" name="Isosceles Triangle 1628">
          <a:extLst>
            <a:ext uri="{FF2B5EF4-FFF2-40B4-BE49-F238E27FC236}">
              <a16:creationId xmlns:a16="http://schemas.microsoft.com/office/drawing/2014/main" id="{820565A0-6DFD-47FE-AA59-AF83B620566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30" name="Isosceles Triangle 1629">
          <a:extLst>
            <a:ext uri="{FF2B5EF4-FFF2-40B4-BE49-F238E27FC236}">
              <a16:creationId xmlns:a16="http://schemas.microsoft.com/office/drawing/2014/main" id="{A91C97F7-4723-4A4D-9F2C-143411981FE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31" name="Isosceles Triangle 1630">
          <a:extLst>
            <a:ext uri="{FF2B5EF4-FFF2-40B4-BE49-F238E27FC236}">
              <a16:creationId xmlns:a16="http://schemas.microsoft.com/office/drawing/2014/main" id="{7FEC0E38-063B-4CC6-8902-60D81BADC5C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32" name="Isosceles Triangle 1631">
          <a:extLst>
            <a:ext uri="{FF2B5EF4-FFF2-40B4-BE49-F238E27FC236}">
              <a16:creationId xmlns:a16="http://schemas.microsoft.com/office/drawing/2014/main" id="{272E67D8-960E-478C-A75C-573213B7E44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33" name="Isosceles Triangle 1632">
          <a:extLst>
            <a:ext uri="{FF2B5EF4-FFF2-40B4-BE49-F238E27FC236}">
              <a16:creationId xmlns:a16="http://schemas.microsoft.com/office/drawing/2014/main" id="{632789F1-C6BC-445D-A6CC-B33C23E3290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34" name="Isosceles Triangle 1633">
          <a:extLst>
            <a:ext uri="{FF2B5EF4-FFF2-40B4-BE49-F238E27FC236}">
              <a16:creationId xmlns:a16="http://schemas.microsoft.com/office/drawing/2014/main" id="{2CE8E9C3-B734-4AD9-92FB-6AEAB9236B5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35" name="Isosceles Triangle 1634">
          <a:extLst>
            <a:ext uri="{FF2B5EF4-FFF2-40B4-BE49-F238E27FC236}">
              <a16:creationId xmlns:a16="http://schemas.microsoft.com/office/drawing/2014/main" id="{68834295-7CA0-4C09-8333-CFB36F94DB1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36" name="Isosceles Triangle 1635">
          <a:extLst>
            <a:ext uri="{FF2B5EF4-FFF2-40B4-BE49-F238E27FC236}">
              <a16:creationId xmlns:a16="http://schemas.microsoft.com/office/drawing/2014/main" id="{3619D573-04B4-483A-817C-31865B7A8D6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37" name="Isosceles Triangle 1636">
          <a:extLst>
            <a:ext uri="{FF2B5EF4-FFF2-40B4-BE49-F238E27FC236}">
              <a16:creationId xmlns:a16="http://schemas.microsoft.com/office/drawing/2014/main" id="{C424B196-00E6-4940-93D3-FCFBDA74BB5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38" name="Isosceles Triangle 1637">
          <a:extLst>
            <a:ext uri="{FF2B5EF4-FFF2-40B4-BE49-F238E27FC236}">
              <a16:creationId xmlns:a16="http://schemas.microsoft.com/office/drawing/2014/main" id="{BC948EE2-D9FF-4310-9917-45D5F86D0AC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39" name="Isosceles Triangle 1638">
          <a:extLst>
            <a:ext uri="{FF2B5EF4-FFF2-40B4-BE49-F238E27FC236}">
              <a16:creationId xmlns:a16="http://schemas.microsoft.com/office/drawing/2014/main" id="{8479931E-075B-4D75-A863-EE0CAA0BF6D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40" name="Isosceles Triangle 1639">
          <a:extLst>
            <a:ext uri="{FF2B5EF4-FFF2-40B4-BE49-F238E27FC236}">
              <a16:creationId xmlns:a16="http://schemas.microsoft.com/office/drawing/2014/main" id="{F1F86355-996F-4A2A-A8A6-5AE5A622313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41" name="Isosceles Triangle 1640">
          <a:extLst>
            <a:ext uri="{FF2B5EF4-FFF2-40B4-BE49-F238E27FC236}">
              <a16:creationId xmlns:a16="http://schemas.microsoft.com/office/drawing/2014/main" id="{16B061A0-240F-4E0D-AFC1-00533ACCEFE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42" name="Isosceles Triangle 1641">
          <a:extLst>
            <a:ext uri="{FF2B5EF4-FFF2-40B4-BE49-F238E27FC236}">
              <a16:creationId xmlns:a16="http://schemas.microsoft.com/office/drawing/2014/main" id="{160EAB6F-9BE3-4987-8E37-6005F1A5AD9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43" name="Isosceles Triangle 1642">
          <a:extLst>
            <a:ext uri="{FF2B5EF4-FFF2-40B4-BE49-F238E27FC236}">
              <a16:creationId xmlns:a16="http://schemas.microsoft.com/office/drawing/2014/main" id="{52194369-E025-4D8C-90DA-5C565072690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44" name="Isosceles Triangle 1643">
          <a:extLst>
            <a:ext uri="{FF2B5EF4-FFF2-40B4-BE49-F238E27FC236}">
              <a16:creationId xmlns:a16="http://schemas.microsoft.com/office/drawing/2014/main" id="{6844B23F-9322-406D-B78E-D34F39377D2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45" name="Isosceles Triangle 1644">
          <a:extLst>
            <a:ext uri="{FF2B5EF4-FFF2-40B4-BE49-F238E27FC236}">
              <a16:creationId xmlns:a16="http://schemas.microsoft.com/office/drawing/2014/main" id="{0511789F-0761-4974-9626-03541CB9CAC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46" name="Isosceles Triangle 1645">
          <a:extLst>
            <a:ext uri="{FF2B5EF4-FFF2-40B4-BE49-F238E27FC236}">
              <a16:creationId xmlns:a16="http://schemas.microsoft.com/office/drawing/2014/main" id="{418761F0-1195-4A1E-95F6-361DD0DBD03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47" name="Isosceles Triangle 1646">
          <a:extLst>
            <a:ext uri="{FF2B5EF4-FFF2-40B4-BE49-F238E27FC236}">
              <a16:creationId xmlns:a16="http://schemas.microsoft.com/office/drawing/2014/main" id="{DDB6E4A7-14FF-40A7-B28A-B695A2095D8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48" name="Isosceles Triangle 1647">
          <a:extLst>
            <a:ext uri="{FF2B5EF4-FFF2-40B4-BE49-F238E27FC236}">
              <a16:creationId xmlns:a16="http://schemas.microsoft.com/office/drawing/2014/main" id="{DEF7BE14-E690-4B36-922E-908AF17931C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49" name="Isosceles Triangle 1648">
          <a:extLst>
            <a:ext uri="{FF2B5EF4-FFF2-40B4-BE49-F238E27FC236}">
              <a16:creationId xmlns:a16="http://schemas.microsoft.com/office/drawing/2014/main" id="{39A33982-FCBC-4731-87D0-0FBF2711EBE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50" name="Isosceles Triangle 1649">
          <a:extLst>
            <a:ext uri="{FF2B5EF4-FFF2-40B4-BE49-F238E27FC236}">
              <a16:creationId xmlns:a16="http://schemas.microsoft.com/office/drawing/2014/main" id="{3CB6EB54-7F67-483C-8B1C-B2457B45D85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51" name="Isosceles Triangle 1650">
          <a:extLst>
            <a:ext uri="{FF2B5EF4-FFF2-40B4-BE49-F238E27FC236}">
              <a16:creationId xmlns:a16="http://schemas.microsoft.com/office/drawing/2014/main" id="{2308F4A1-F3C0-4F17-9E81-8CFD58876D6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52" name="Isosceles Triangle 1651">
          <a:extLst>
            <a:ext uri="{FF2B5EF4-FFF2-40B4-BE49-F238E27FC236}">
              <a16:creationId xmlns:a16="http://schemas.microsoft.com/office/drawing/2014/main" id="{EBF9F90B-AF34-45C9-916D-8973A4A34E6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53" name="Isosceles Triangle 1652">
          <a:extLst>
            <a:ext uri="{FF2B5EF4-FFF2-40B4-BE49-F238E27FC236}">
              <a16:creationId xmlns:a16="http://schemas.microsoft.com/office/drawing/2014/main" id="{68DD1416-7413-4318-8AE1-DA84649CFD7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54" name="Isosceles Triangle 1653">
          <a:extLst>
            <a:ext uri="{FF2B5EF4-FFF2-40B4-BE49-F238E27FC236}">
              <a16:creationId xmlns:a16="http://schemas.microsoft.com/office/drawing/2014/main" id="{818949E0-E790-4D13-B049-69CB1735D7C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55" name="Isosceles Triangle 1654">
          <a:extLst>
            <a:ext uri="{FF2B5EF4-FFF2-40B4-BE49-F238E27FC236}">
              <a16:creationId xmlns:a16="http://schemas.microsoft.com/office/drawing/2014/main" id="{E535AC10-3AC3-482F-A066-90CC3369159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56" name="Isosceles Triangle 1655">
          <a:extLst>
            <a:ext uri="{FF2B5EF4-FFF2-40B4-BE49-F238E27FC236}">
              <a16:creationId xmlns:a16="http://schemas.microsoft.com/office/drawing/2014/main" id="{431515EF-BFAA-43DB-83EA-8B4E3293512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57" name="Isosceles Triangle 1656">
          <a:extLst>
            <a:ext uri="{FF2B5EF4-FFF2-40B4-BE49-F238E27FC236}">
              <a16:creationId xmlns:a16="http://schemas.microsoft.com/office/drawing/2014/main" id="{AFF18BF0-613F-49AD-8026-A1C64CBEC61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58" name="Isosceles Triangle 1657">
          <a:extLst>
            <a:ext uri="{FF2B5EF4-FFF2-40B4-BE49-F238E27FC236}">
              <a16:creationId xmlns:a16="http://schemas.microsoft.com/office/drawing/2014/main" id="{63A7B2DC-C125-47E8-B9D3-CCD63150741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59" name="Isosceles Triangle 1658">
          <a:extLst>
            <a:ext uri="{FF2B5EF4-FFF2-40B4-BE49-F238E27FC236}">
              <a16:creationId xmlns:a16="http://schemas.microsoft.com/office/drawing/2014/main" id="{A2FB2C42-1464-4EDE-B1A3-EA3BB04C803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60" name="Isosceles Triangle 1659">
          <a:extLst>
            <a:ext uri="{FF2B5EF4-FFF2-40B4-BE49-F238E27FC236}">
              <a16:creationId xmlns:a16="http://schemas.microsoft.com/office/drawing/2014/main" id="{CB366DCC-E8CE-48E7-964B-7E5604BBB33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61" name="Isosceles Triangle 1660">
          <a:extLst>
            <a:ext uri="{FF2B5EF4-FFF2-40B4-BE49-F238E27FC236}">
              <a16:creationId xmlns:a16="http://schemas.microsoft.com/office/drawing/2014/main" id="{ED0D3F2D-CCD3-4465-8D19-556A6E45D33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62" name="Isosceles Triangle 1661">
          <a:extLst>
            <a:ext uri="{FF2B5EF4-FFF2-40B4-BE49-F238E27FC236}">
              <a16:creationId xmlns:a16="http://schemas.microsoft.com/office/drawing/2014/main" id="{1E9F3694-66BA-41BA-92BD-AF7180AD2CB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663" name="Isosceles Triangle 1662">
          <a:extLst>
            <a:ext uri="{FF2B5EF4-FFF2-40B4-BE49-F238E27FC236}">
              <a16:creationId xmlns:a16="http://schemas.microsoft.com/office/drawing/2014/main" id="{3C0905BA-F195-4290-98B0-5F4B7B6E461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664" name="Isosceles Triangle 1663">
          <a:extLst>
            <a:ext uri="{FF2B5EF4-FFF2-40B4-BE49-F238E27FC236}">
              <a16:creationId xmlns:a16="http://schemas.microsoft.com/office/drawing/2014/main" id="{9352E4F3-0412-45D5-B2EF-87CCB0EDF57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65" name="Isosceles Triangle 1664">
          <a:extLst>
            <a:ext uri="{FF2B5EF4-FFF2-40B4-BE49-F238E27FC236}">
              <a16:creationId xmlns:a16="http://schemas.microsoft.com/office/drawing/2014/main" id="{FF26F28C-AE69-4B0C-BD25-7C9454A51E54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666" name="Isosceles Triangle 1665">
          <a:extLst>
            <a:ext uri="{FF2B5EF4-FFF2-40B4-BE49-F238E27FC236}">
              <a16:creationId xmlns:a16="http://schemas.microsoft.com/office/drawing/2014/main" id="{58B26CCB-CE5E-4F26-9368-AEEAC6F6121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67" name="Isosceles Triangle 1666">
          <a:extLst>
            <a:ext uri="{FF2B5EF4-FFF2-40B4-BE49-F238E27FC236}">
              <a16:creationId xmlns:a16="http://schemas.microsoft.com/office/drawing/2014/main" id="{8F62A9CF-44B8-4916-8D55-8567219EBDD8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668" name="Isosceles Triangle 1667">
          <a:extLst>
            <a:ext uri="{FF2B5EF4-FFF2-40B4-BE49-F238E27FC236}">
              <a16:creationId xmlns:a16="http://schemas.microsoft.com/office/drawing/2014/main" id="{4214DA53-39D1-40F9-BFC8-C8D5E3E3465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69" name="Isosceles Triangle 1668">
          <a:extLst>
            <a:ext uri="{FF2B5EF4-FFF2-40B4-BE49-F238E27FC236}">
              <a16:creationId xmlns:a16="http://schemas.microsoft.com/office/drawing/2014/main" id="{1C23280A-A8FF-4944-86CC-82D008E6784F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670" name="Isosceles Triangle 1669">
          <a:extLst>
            <a:ext uri="{FF2B5EF4-FFF2-40B4-BE49-F238E27FC236}">
              <a16:creationId xmlns:a16="http://schemas.microsoft.com/office/drawing/2014/main" id="{40FFF0FF-2C0B-4B3D-AF5B-E9371E8C147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671" name="Isosceles Triangle 1670">
          <a:extLst>
            <a:ext uri="{FF2B5EF4-FFF2-40B4-BE49-F238E27FC236}">
              <a16:creationId xmlns:a16="http://schemas.microsoft.com/office/drawing/2014/main" id="{9F48EE70-2DA5-42D3-BF76-9A682E0A5EE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672" name="Isosceles Triangle 1671">
          <a:extLst>
            <a:ext uri="{FF2B5EF4-FFF2-40B4-BE49-F238E27FC236}">
              <a16:creationId xmlns:a16="http://schemas.microsoft.com/office/drawing/2014/main" id="{859AF763-5BD3-4F2B-A8C2-754DE022CAF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73" name="Isosceles Triangle 1672">
          <a:extLst>
            <a:ext uri="{FF2B5EF4-FFF2-40B4-BE49-F238E27FC236}">
              <a16:creationId xmlns:a16="http://schemas.microsoft.com/office/drawing/2014/main" id="{7B30F1FE-D190-4BC3-BD6A-52FCDEAE4D54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74" name="Isosceles Triangle 1673">
          <a:extLst>
            <a:ext uri="{FF2B5EF4-FFF2-40B4-BE49-F238E27FC236}">
              <a16:creationId xmlns:a16="http://schemas.microsoft.com/office/drawing/2014/main" id="{C57CF4DE-1E83-4684-8171-882AF5933D3A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75" name="Isosceles Triangle 1674">
          <a:extLst>
            <a:ext uri="{FF2B5EF4-FFF2-40B4-BE49-F238E27FC236}">
              <a16:creationId xmlns:a16="http://schemas.microsoft.com/office/drawing/2014/main" id="{2AF0B3E7-9D01-431D-A710-1F68288CAB34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76" name="Isosceles Triangle 1675">
          <a:extLst>
            <a:ext uri="{FF2B5EF4-FFF2-40B4-BE49-F238E27FC236}">
              <a16:creationId xmlns:a16="http://schemas.microsoft.com/office/drawing/2014/main" id="{9C5CFB43-B6A3-44EC-B708-3E75A7194327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677" name="Isosceles Triangle 1676">
          <a:extLst>
            <a:ext uri="{FF2B5EF4-FFF2-40B4-BE49-F238E27FC236}">
              <a16:creationId xmlns:a16="http://schemas.microsoft.com/office/drawing/2014/main" id="{99818869-2D15-466E-AE6A-FCDCF144F70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678" name="Isosceles Triangle 1677">
          <a:extLst>
            <a:ext uri="{FF2B5EF4-FFF2-40B4-BE49-F238E27FC236}">
              <a16:creationId xmlns:a16="http://schemas.microsoft.com/office/drawing/2014/main" id="{866BF919-EE3E-4D73-BD6D-36D5C9518ED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679" name="Isosceles Triangle 1678">
          <a:extLst>
            <a:ext uri="{FF2B5EF4-FFF2-40B4-BE49-F238E27FC236}">
              <a16:creationId xmlns:a16="http://schemas.microsoft.com/office/drawing/2014/main" id="{1CAAE0F5-332B-4C79-AEB5-0DC519D27E7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680" name="Isosceles Triangle 1679">
          <a:extLst>
            <a:ext uri="{FF2B5EF4-FFF2-40B4-BE49-F238E27FC236}">
              <a16:creationId xmlns:a16="http://schemas.microsoft.com/office/drawing/2014/main" id="{5102FECF-9175-4F83-88D6-7F4BD6258D4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681" name="Isosceles Triangle 1680">
          <a:extLst>
            <a:ext uri="{FF2B5EF4-FFF2-40B4-BE49-F238E27FC236}">
              <a16:creationId xmlns:a16="http://schemas.microsoft.com/office/drawing/2014/main" id="{E25B654D-AEA6-4B26-8831-9326C763315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682" name="Isosceles Triangle 1681">
          <a:extLst>
            <a:ext uri="{FF2B5EF4-FFF2-40B4-BE49-F238E27FC236}">
              <a16:creationId xmlns:a16="http://schemas.microsoft.com/office/drawing/2014/main" id="{710BEBCD-9ED8-4E31-87D1-EBF7E00CFFF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683" name="Isosceles Triangle 1682">
          <a:extLst>
            <a:ext uri="{FF2B5EF4-FFF2-40B4-BE49-F238E27FC236}">
              <a16:creationId xmlns:a16="http://schemas.microsoft.com/office/drawing/2014/main" id="{7357D95E-12FD-4E9B-9860-B0C36561A3A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84" name="Isosceles Triangle 1683">
          <a:extLst>
            <a:ext uri="{FF2B5EF4-FFF2-40B4-BE49-F238E27FC236}">
              <a16:creationId xmlns:a16="http://schemas.microsoft.com/office/drawing/2014/main" id="{C3319213-C773-4011-A51A-5B7F06E15275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85" name="Isosceles Triangle 1684">
          <a:extLst>
            <a:ext uri="{FF2B5EF4-FFF2-40B4-BE49-F238E27FC236}">
              <a16:creationId xmlns:a16="http://schemas.microsoft.com/office/drawing/2014/main" id="{E3B6581B-DB32-416B-AD41-0F815B50516F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86" name="Isosceles Triangle 1685">
          <a:extLst>
            <a:ext uri="{FF2B5EF4-FFF2-40B4-BE49-F238E27FC236}">
              <a16:creationId xmlns:a16="http://schemas.microsoft.com/office/drawing/2014/main" id="{92CAFC5B-477A-457A-80B3-6661EB2EC33F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87" name="Isosceles Triangle 1686">
          <a:extLst>
            <a:ext uri="{FF2B5EF4-FFF2-40B4-BE49-F238E27FC236}">
              <a16:creationId xmlns:a16="http://schemas.microsoft.com/office/drawing/2014/main" id="{326E1A0B-BED1-4A82-B4CC-A6C42B9F4438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88" name="Isosceles Triangle 1687">
          <a:extLst>
            <a:ext uri="{FF2B5EF4-FFF2-40B4-BE49-F238E27FC236}">
              <a16:creationId xmlns:a16="http://schemas.microsoft.com/office/drawing/2014/main" id="{89ABD2C1-2E65-4DEE-9B22-1EE2CBDDB0EC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89" name="Isosceles Triangle 1688">
          <a:extLst>
            <a:ext uri="{FF2B5EF4-FFF2-40B4-BE49-F238E27FC236}">
              <a16:creationId xmlns:a16="http://schemas.microsoft.com/office/drawing/2014/main" id="{70A27F29-C23C-45BA-AFFE-D66C848FF178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90" name="Isosceles Triangle 1689">
          <a:extLst>
            <a:ext uri="{FF2B5EF4-FFF2-40B4-BE49-F238E27FC236}">
              <a16:creationId xmlns:a16="http://schemas.microsoft.com/office/drawing/2014/main" id="{C5968E80-D312-4BD9-A214-1A87EBA307AA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91" name="Isosceles Triangle 1690">
          <a:extLst>
            <a:ext uri="{FF2B5EF4-FFF2-40B4-BE49-F238E27FC236}">
              <a16:creationId xmlns:a16="http://schemas.microsoft.com/office/drawing/2014/main" id="{2C301586-68D7-4637-A952-A0F5A7282B12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92" name="Isosceles Triangle 1691">
          <a:extLst>
            <a:ext uri="{FF2B5EF4-FFF2-40B4-BE49-F238E27FC236}">
              <a16:creationId xmlns:a16="http://schemas.microsoft.com/office/drawing/2014/main" id="{0358192D-B716-414B-88A0-74F0923B345B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93" name="Isosceles Triangle 1692">
          <a:extLst>
            <a:ext uri="{FF2B5EF4-FFF2-40B4-BE49-F238E27FC236}">
              <a16:creationId xmlns:a16="http://schemas.microsoft.com/office/drawing/2014/main" id="{92E55ECD-ED4D-4CED-B1EA-1C59B5D3108E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94" name="Isosceles Triangle 1693">
          <a:extLst>
            <a:ext uri="{FF2B5EF4-FFF2-40B4-BE49-F238E27FC236}">
              <a16:creationId xmlns:a16="http://schemas.microsoft.com/office/drawing/2014/main" id="{03D5404F-F988-4370-B476-74ADAA2E271F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95" name="Isosceles Triangle 1694">
          <a:extLst>
            <a:ext uri="{FF2B5EF4-FFF2-40B4-BE49-F238E27FC236}">
              <a16:creationId xmlns:a16="http://schemas.microsoft.com/office/drawing/2014/main" id="{8EB27082-7EDA-4E1A-80D3-6C7258D2F401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96" name="Isosceles Triangle 1695">
          <a:extLst>
            <a:ext uri="{FF2B5EF4-FFF2-40B4-BE49-F238E27FC236}">
              <a16:creationId xmlns:a16="http://schemas.microsoft.com/office/drawing/2014/main" id="{768290D2-1AAB-42CE-B9B0-66CF985B432B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97" name="Isosceles Triangle 1696">
          <a:extLst>
            <a:ext uri="{FF2B5EF4-FFF2-40B4-BE49-F238E27FC236}">
              <a16:creationId xmlns:a16="http://schemas.microsoft.com/office/drawing/2014/main" id="{7BFCE83B-DB44-4DB9-B144-BAE6127C3EB5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98" name="Isosceles Triangle 1697">
          <a:extLst>
            <a:ext uri="{FF2B5EF4-FFF2-40B4-BE49-F238E27FC236}">
              <a16:creationId xmlns:a16="http://schemas.microsoft.com/office/drawing/2014/main" id="{C1A11574-D3B0-4D6E-B4F6-96C11339ADDB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699" name="Isosceles Triangle 1698">
          <a:extLst>
            <a:ext uri="{FF2B5EF4-FFF2-40B4-BE49-F238E27FC236}">
              <a16:creationId xmlns:a16="http://schemas.microsoft.com/office/drawing/2014/main" id="{53BF774A-C721-4851-A860-C8354CCB2637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00" name="Isosceles Triangle 1699">
          <a:extLst>
            <a:ext uri="{FF2B5EF4-FFF2-40B4-BE49-F238E27FC236}">
              <a16:creationId xmlns:a16="http://schemas.microsoft.com/office/drawing/2014/main" id="{2A49DACB-B441-4D19-BAAC-4FD333FA5CEA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01" name="Isosceles Triangle 1700">
          <a:extLst>
            <a:ext uri="{FF2B5EF4-FFF2-40B4-BE49-F238E27FC236}">
              <a16:creationId xmlns:a16="http://schemas.microsoft.com/office/drawing/2014/main" id="{19C0A403-D3A5-481F-88A5-FA2A640617C7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02" name="Isosceles Triangle 1701">
          <a:extLst>
            <a:ext uri="{FF2B5EF4-FFF2-40B4-BE49-F238E27FC236}">
              <a16:creationId xmlns:a16="http://schemas.microsoft.com/office/drawing/2014/main" id="{158FEF72-C6F8-481E-8D54-DE943EDF5A8D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03" name="Isosceles Triangle 1702">
          <a:extLst>
            <a:ext uri="{FF2B5EF4-FFF2-40B4-BE49-F238E27FC236}">
              <a16:creationId xmlns:a16="http://schemas.microsoft.com/office/drawing/2014/main" id="{53A4F0F8-079C-46EC-B3F7-3165F8217288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04" name="Isosceles Triangle 1703">
          <a:extLst>
            <a:ext uri="{FF2B5EF4-FFF2-40B4-BE49-F238E27FC236}">
              <a16:creationId xmlns:a16="http://schemas.microsoft.com/office/drawing/2014/main" id="{551EDC00-FE5C-4DED-AF89-15907FB318B2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05" name="Isosceles Triangle 1704">
          <a:extLst>
            <a:ext uri="{FF2B5EF4-FFF2-40B4-BE49-F238E27FC236}">
              <a16:creationId xmlns:a16="http://schemas.microsoft.com/office/drawing/2014/main" id="{6D07C97D-E179-4FD0-8CA4-85E394A9DC89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06" name="Isosceles Triangle 1705">
          <a:extLst>
            <a:ext uri="{FF2B5EF4-FFF2-40B4-BE49-F238E27FC236}">
              <a16:creationId xmlns:a16="http://schemas.microsoft.com/office/drawing/2014/main" id="{D4BE4A46-E2F6-49F1-BD08-CC17E9958812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07" name="Isosceles Triangle 1706">
          <a:extLst>
            <a:ext uri="{FF2B5EF4-FFF2-40B4-BE49-F238E27FC236}">
              <a16:creationId xmlns:a16="http://schemas.microsoft.com/office/drawing/2014/main" id="{AA748A04-2B01-4964-8666-20074EC23171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08" name="Isosceles Triangle 1707">
          <a:extLst>
            <a:ext uri="{FF2B5EF4-FFF2-40B4-BE49-F238E27FC236}">
              <a16:creationId xmlns:a16="http://schemas.microsoft.com/office/drawing/2014/main" id="{AAD2AC1E-2EB6-41CA-91A6-84FF14C3685D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09" name="Isosceles Triangle 1708">
          <a:extLst>
            <a:ext uri="{FF2B5EF4-FFF2-40B4-BE49-F238E27FC236}">
              <a16:creationId xmlns:a16="http://schemas.microsoft.com/office/drawing/2014/main" id="{772C2F0A-5719-4CCA-A8D1-1B8D6D55057B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10" name="Isosceles Triangle 1709">
          <a:extLst>
            <a:ext uri="{FF2B5EF4-FFF2-40B4-BE49-F238E27FC236}">
              <a16:creationId xmlns:a16="http://schemas.microsoft.com/office/drawing/2014/main" id="{CAE60B77-1EC7-46A8-969F-48EE6918AF9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11" name="Isosceles Triangle 1710">
          <a:extLst>
            <a:ext uri="{FF2B5EF4-FFF2-40B4-BE49-F238E27FC236}">
              <a16:creationId xmlns:a16="http://schemas.microsoft.com/office/drawing/2014/main" id="{51944474-8BCA-41C0-BAF2-02C5068D9B3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12" name="Isosceles Triangle 1711">
          <a:extLst>
            <a:ext uri="{FF2B5EF4-FFF2-40B4-BE49-F238E27FC236}">
              <a16:creationId xmlns:a16="http://schemas.microsoft.com/office/drawing/2014/main" id="{2A0A718A-B765-4007-A94A-D0E6F47B45C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13" name="Isosceles Triangle 1712">
          <a:extLst>
            <a:ext uri="{FF2B5EF4-FFF2-40B4-BE49-F238E27FC236}">
              <a16:creationId xmlns:a16="http://schemas.microsoft.com/office/drawing/2014/main" id="{40535C8C-40C2-4989-A3D8-77A0E68DE04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14" name="Isosceles Triangle 1713">
          <a:extLst>
            <a:ext uri="{FF2B5EF4-FFF2-40B4-BE49-F238E27FC236}">
              <a16:creationId xmlns:a16="http://schemas.microsoft.com/office/drawing/2014/main" id="{1C0B3585-19E6-475F-B974-1EA98DE3D45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15" name="Isosceles Triangle 1714">
          <a:extLst>
            <a:ext uri="{FF2B5EF4-FFF2-40B4-BE49-F238E27FC236}">
              <a16:creationId xmlns:a16="http://schemas.microsoft.com/office/drawing/2014/main" id="{74E2C9E3-1AAE-4A7D-ADBA-1887A5CE5E5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16" name="Isosceles Triangle 1715">
          <a:extLst>
            <a:ext uri="{FF2B5EF4-FFF2-40B4-BE49-F238E27FC236}">
              <a16:creationId xmlns:a16="http://schemas.microsoft.com/office/drawing/2014/main" id="{455B1D8B-29A9-4FDB-A7A7-D8B20F86066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17" name="Isosceles Triangle 1716">
          <a:extLst>
            <a:ext uri="{FF2B5EF4-FFF2-40B4-BE49-F238E27FC236}">
              <a16:creationId xmlns:a16="http://schemas.microsoft.com/office/drawing/2014/main" id="{3628688A-E7EF-49B9-8297-EA43CCDED02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18" name="Isosceles Triangle 1717">
          <a:extLst>
            <a:ext uri="{FF2B5EF4-FFF2-40B4-BE49-F238E27FC236}">
              <a16:creationId xmlns:a16="http://schemas.microsoft.com/office/drawing/2014/main" id="{6C84AE8B-070E-45A9-8164-CB96540F23F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19" name="Isosceles Triangle 1718">
          <a:extLst>
            <a:ext uri="{FF2B5EF4-FFF2-40B4-BE49-F238E27FC236}">
              <a16:creationId xmlns:a16="http://schemas.microsoft.com/office/drawing/2014/main" id="{6AA64DBA-1B57-4ED6-A9F9-2C247267F58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20" name="Isosceles Triangle 1719">
          <a:extLst>
            <a:ext uri="{FF2B5EF4-FFF2-40B4-BE49-F238E27FC236}">
              <a16:creationId xmlns:a16="http://schemas.microsoft.com/office/drawing/2014/main" id="{D41389BD-6DC5-4E4B-8BCF-3EAE4961C37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21" name="Isosceles Triangle 1720">
          <a:extLst>
            <a:ext uri="{FF2B5EF4-FFF2-40B4-BE49-F238E27FC236}">
              <a16:creationId xmlns:a16="http://schemas.microsoft.com/office/drawing/2014/main" id="{A1F1DB19-47C6-4D52-9A24-77DE51A7974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22" name="Isosceles Triangle 1721">
          <a:extLst>
            <a:ext uri="{FF2B5EF4-FFF2-40B4-BE49-F238E27FC236}">
              <a16:creationId xmlns:a16="http://schemas.microsoft.com/office/drawing/2014/main" id="{6C7DACF5-EFDE-498A-A9BE-5BC4A04829E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23" name="Isosceles Triangle 1722">
          <a:extLst>
            <a:ext uri="{FF2B5EF4-FFF2-40B4-BE49-F238E27FC236}">
              <a16:creationId xmlns:a16="http://schemas.microsoft.com/office/drawing/2014/main" id="{8785C245-6173-4B79-BB2B-CD7477B27C3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24" name="Isosceles Triangle 1723">
          <a:extLst>
            <a:ext uri="{FF2B5EF4-FFF2-40B4-BE49-F238E27FC236}">
              <a16:creationId xmlns:a16="http://schemas.microsoft.com/office/drawing/2014/main" id="{04FA4E74-9E07-48FC-AD91-1616E8863C7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25" name="Isosceles Triangle 1724">
          <a:extLst>
            <a:ext uri="{FF2B5EF4-FFF2-40B4-BE49-F238E27FC236}">
              <a16:creationId xmlns:a16="http://schemas.microsoft.com/office/drawing/2014/main" id="{D02197EB-0905-42BB-8000-C15DC36752F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26" name="Isosceles Triangle 1725">
          <a:extLst>
            <a:ext uri="{FF2B5EF4-FFF2-40B4-BE49-F238E27FC236}">
              <a16:creationId xmlns:a16="http://schemas.microsoft.com/office/drawing/2014/main" id="{4A16C6C1-CF72-46CF-827D-B163D9FFEB7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27" name="Isosceles Triangle 1726">
          <a:extLst>
            <a:ext uri="{FF2B5EF4-FFF2-40B4-BE49-F238E27FC236}">
              <a16:creationId xmlns:a16="http://schemas.microsoft.com/office/drawing/2014/main" id="{8A41E8B7-670C-45D2-AF5A-A7A52EA89FB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28" name="Isosceles Triangle 1727">
          <a:extLst>
            <a:ext uri="{FF2B5EF4-FFF2-40B4-BE49-F238E27FC236}">
              <a16:creationId xmlns:a16="http://schemas.microsoft.com/office/drawing/2014/main" id="{EF60EDBC-2785-479D-867D-0B2B5032999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29" name="Isosceles Triangle 1728">
          <a:extLst>
            <a:ext uri="{FF2B5EF4-FFF2-40B4-BE49-F238E27FC236}">
              <a16:creationId xmlns:a16="http://schemas.microsoft.com/office/drawing/2014/main" id="{C2827B70-4449-4BAC-8BEF-CB36279B9AF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30" name="Isosceles Triangle 1729">
          <a:extLst>
            <a:ext uri="{FF2B5EF4-FFF2-40B4-BE49-F238E27FC236}">
              <a16:creationId xmlns:a16="http://schemas.microsoft.com/office/drawing/2014/main" id="{E3C1FC2B-B53C-4742-B3A1-664F0DDF036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31" name="Isosceles Triangle 1730">
          <a:extLst>
            <a:ext uri="{FF2B5EF4-FFF2-40B4-BE49-F238E27FC236}">
              <a16:creationId xmlns:a16="http://schemas.microsoft.com/office/drawing/2014/main" id="{1B43CEBF-65DE-4D58-9EB8-927AC61C5C7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32" name="Isosceles Triangle 1731">
          <a:extLst>
            <a:ext uri="{FF2B5EF4-FFF2-40B4-BE49-F238E27FC236}">
              <a16:creationId xmlns:a16="http://schemas.microsoft.com/office/drawing/2014/main" id="{78634E66-67A2-4CFD-98E5-5A76BE6F3F3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33" name="Isosceles Triangle 1732">
          <a:extLst>
            <a:ext uri="{FF2B5EF4-FFF2-40B4-BE49-F238E27FC236}">
              <a16:creationId xmlns:a16="http://schemas.microsoft.com/office/drawing/2014/main" id="{22035D44-5456-4E1B-90DB-CB9AB21BFE2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34" name="Isosceles Triangle 1733">
          <a:extLst>
            <a:ext uri="{FF2B5EF4-FFF2-40B4-BE49-F238E27FC236}">
              <a16:creationId xmlns:a16="http://schemas.microsoft.com/office/drawing/2014/main" id="{9D6607CC-28B0-4B57-B4C7-A10BCEC25D3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35" name="Isosceles Triangle 1734">
          <a:extLst>
            <a:ext uri="{FF2B5EF4-FFF2-40B4-BE49-F238E27FC236}">
              <a16:creationId xmlns:a16="http://schemas.microsoft.com/office/drawing/2014/main" id="{1ADC9B3B-EC2A-434E-802A-37FF1FAF2D3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36" name="Isosceles Triangle 1735">
          <a:extLst>
            <a:ext uri="{FF2B5EF4-FFF2-40B4-BE49-F238E27FC236}">
              <a16:creationId xmlns:a16="http://schemas.microsoft.com/office/drawing/2014/main" id="{7FA9A710-5A4B-435F-B596-343B837F63E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37" name="Isosceles Triangle 1736">
          <a:extLst>
            <a:ext uri="{FF2B5EF4-FFF2-40B4-BE49-F238E27FC236}">
              <a16:creationId xmlns:a16="http://schemas.microsoft.com/office/drawing/2014/main" id="{01C82970-A707-4E6C-AA23-25C3804E4A8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38" name="Isosceles Triangle 1737">
          <a:extLst>
            <a:ext uri="{FF2B5EF4-FFF2-40B4-BE49-F238E27FC236}">
              <a16:creationId xmlns:a16="http://schemas.microsoft.com/office/drawing/2014/main" id="{07EBB26E-89D0-4A7C-95D9-BF7B5A5373B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39" name="Isosceles Triangle 1738">
          <a:extLst>
            <a:ext uri="{FF2B5EF4-FFF2-40B4-BE49-F238E27FC236}">
              <a16:creationId xmlns:a16="http://schemas.microsoft.com/office/drawing/2014/main" id="{6C1839D9-4303-4377-ADD5-25CF7B3D39E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40" name="Isosceles Triangle 1739">
          <a:extLst>
            <a:ext uri="{FF2B5EF4-FFF2-40B4-BE49-F238E27FC236}">
              <a16:creationId xmlns:a16="http://schemas.microsoft.com/office/drawing/2014/main" id="{64B65134-CABC-485A-9F35-21343E86BA3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41" name="Isosceles Triangle 1740">
          <a:extLst>
            <a:ext uri="{FF2B5EF4-FFF2-40B4-BE49-F238E27FC236}">
              <a16:creationId xmlns:a16="http://schemas.microsoft.com/office/drawing/2014/main" id="{B39294C8-C14C-4A08-99CC-D30067C0C42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42" name="Isosceles Triangle 1741">
          <a:extLst>
            <a:ext uri="{FF2B5EF4-FFF2-40B4-BE49-F238E27FC236}">
              <a16:creationId xmlns:a16="http://schemas.microsoft.com/office/drawing/2014/main" id="{146A5A2F-0C33-4944-9AF1-A9FCB9266EE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43" name="Isosceles Triangle 1742">
          <a:extLst>
            <a:ext uri="{FF2B5EF4-FFF2-40B4-BE49-F238E27FC236}">
              <a16:creationId xmlns:a16="http://schemas.microsoft.com/office/drawing/2014/main" id="{D2B68CBF-2C70-41D7-8088-56798AC9125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44" name="Isosceles Triangle 1743">
          <a:extLst>
            <a:ext uri="{FF2B5EF4-FFF2-40B4-BE49-F238E27FC236}">
              <a16:creationId xmlns:a16="http://schemas.microsoft.com/office/drawing/2014/main" id="{5B9476E2-B18B-46B5-B89E-10CA2BFECBF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45" name="Isosceles Triangle 1744">
          <a:extLst>
            <a:ext uri="{FF2B5EF4-FFF2-40B4-BE49-F238E27FC236}">
              <a16:creationId xmlns:a16="http://schemas.microsoft.com/office/drawing/2014/main" id="{7919E129-E606-449E-BF1F-960DAA5EDD9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46" name="Isosceles Triangle 1745">
          <a:extLst>
            <a:ext uri="{FF2B5EF4-FFF2-40B4-BE49-F238E27FC236}">
              <a16:creationId xmlns:a16="http://schemas.microsoft.com/office/drawing/2014/main" id="{69837E34-1FAD-4727-9FA3-480AAEBE8F1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47" name="Isosceles Triangle 1746">
          <a:extLst>
            <a:ext uri="{FF2B5EF4-FFF2-40B4-BE49-F238E27FC236}">
              <a16:creationId xmlns:a16="http://schemas.microsoft.com/office/drawing/2014/main" id="{146E60CD-F2A5-45D8-B9E1-B5945E6B4A2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48" name="Isosceles Triangle 1747">
          <a:extLst>
            <a:ext uri="{FF2B5EF4-FFF2-40B4-BE49-F238E27FC236}">
              <a16:creationId xmlns:a16="http://schemas.microsoft.com/office/drawing/2014/main" id="{A2A8445D-7F02-4ADE-91CD-70B742B0137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49" name="Isosceles Triangle 1748">
          <a:extLst>
            <a:ext uri="{FF2B5EF4-FFF2-40B4-BE49-F238E27FC236}">
              <a16:creationId xmlns:a16="http://schemas.microsoft.com/office/drawing/2014/main" id="{BAECA6F3-56C0-4001-8A80-50D7F50C645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50" name="Isosceles Triangle 1749">
          <a:extLst>
            <a:ext uri="{FF2B5EF4-FFF2-40B4-BE49-F238E27FC236}">
              <a16:creationId xmlns:a16="http://schemas.microsoft.com/office/drawing/2014/main" id="{08F54B73-371C-415E-81BA-1A916B990F3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51" name="Isosceles Triangle 1750">
          <a:extLst>
            <a:ext uri="{FF2B5EF4-FFF2-40B4-BE49-F238E27FC236}">
              <a16:creationId xmlns:a16="http://schemas.microsoft.com/office/drawing/2014/main" id="{248BB81D-A52C-4049-B3CD-959B41C0E2B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52" name="Isosceles Triangle 1751">
          <a:extLst>
            <a:ext uri="{FF2B5EF4-FFF2-40B4-BE49-F238E27FC236}">
              <a16:creationId xmlns:a16="http://schemas.microsoft.com/office/drawing/2014/main" id="{55E9D9AB-3CFF-48F6-9473-5A8E73832EC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53" name="Isosceles Triangle 1752">
          <a:extLst>
            <a:ext uri="{FF2B5EF4-FFF2-40B4-BE49-F238E27FC236}">
              <a16:creationId xmlns:a16="http://schemas.microsoft.com/office/drawing/2014/main" id="{40F1F1C4-BEB8-417A-9AC3-AAB5406E939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54" name="Isosceles Triangle 1753">
          <a:extLst>
            <a:ext uri="{FF2B5EF4-FFF2-40B4-BE49-F238E27FC236}">
              <a16:creationId xmlns:a16="http://schemas.microsoft.com/office/drawing/2014/main" id="{BB0D2E40-204D-48FB-9BA1-01B780B6BC1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55" name="Isosceles Triangle 1754">
          <a:extLst>
            <a:ext uri="{FF2B5EF4-FFF2-40B4-BE49-F238E27FC236}">
              <a16:creationId xmlns:a16="http://schemas.microsoft.com/office/drawing/2014/main" id="{4F963E3F-3241-4A8B-B6E0-AEA7A13BA84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56" name="Isosceles Triangle 1755">
          <a:extLst>
            <a:ext uri="{FF2B5EF4-FFF2-40B4-BE49-F238E27FC236}">
              <a16:creationId xmlns:a16="http://schemas.microsoft.com/office/drawing/2014/main" id="{9E883A80-60D0-46F7-9602-60FE200706C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57" name="Isosceles Triangle 1756">
          <a:extLst>
            <a:ext uri="{FF2B5EF4-FFF2-40B4-BE49-F238E27FC236}">
              <a16:creationId xmlns:a16="http://schemas.microsoft.com/office/drawing/2014/main" id="{AA2B737E-0D06-40D1-9E72-420F7E4AB05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58" name="Isosceles Triangle 1757">
          <a:extLst>
            <a:ext uri="{FF2B5EF4-FFF2-40B4-BE49-F238E27FC236}">
              <a16:creationId xmlns:a16="http://schemas.microsoft.com/office/drawing/2014/main" id="{D9570548-1F70-4B9C-8B06-B1BA8D3B1D5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59" name="Isosceles Triangle 1758">
          <a:extLst>
            <a:ext uri="{FF2B5EF4-FFF2-40B4-BE49-F238E27FC236}">
              <a16:creationId xmlns:a16="http://schemas.microsoft.com/office/drawing/2014/main" id="{84690CC5-A49A-4FA5-9BDF-F00F260FC61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60" name="Isosceles Triangle 1759">
          <a:extLst>
            <a:ext uri="{FF2B5EF4-FFF2-40B4-BE49-F238E27FC236}">
              <a16:creationId xmlns:a16="http://schemas.microsoft.com/office/drawing/2014/main" id="{B2C65502-5042-4E52-AF5E-665F3F6B792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61" name="Isosceles Triangle 1760">
          <a:extLst>
            <a:ext uri="{FF2B5EF4-FFF2-40B4-BE49-F238E27FC236}">
              <a16:creationId xmlns:a16="http://schemas.microsoft.com/office/drawing/2014/main" id="{FB6A9ADC-8BC3-4A66-80E2-BA4B16E1C2B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62" name="Isosceles Triangle 1761">
          <a:extLst>
            <a:ext uri="{FF2B5EF4-FFF2-40B4-BE49-F238E27FC236}">
              <a16:creationId xmlns:a16="http://schemas.microsoft.com/office/drawing/2014/main" id="{89B28E2F-CEDD-467E-A9F2-075942CFD9F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63" name="Isosceles Triangle 1762">
          <a:extLst>
            <a:ext uri="{FF2B5EF4-FFF2-40B4-BE49-F238E27FC236}">
              <a16:creationId xmlns:a16="http://schemas.microsoft.com/office/drawing/2014/main" id="{A97BDD6E-BE73-42FF-AF2A-58FFBD96DDF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64" name="Isosceles Triangle 1763">
          <a:extLst>
            <a:ext uri="{FF2B5EF4-FFF2-40B4-BE49-F238E27FC236}">
              <a16:creationId xmlns:a16="http://schemas.microsoft.com/office/drawing/2014/main" id="{18A32473-7056-4FD4-858B-1F8CC248C25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65" name="Isosceles Triangle 1764">
          <a:extLst>
            <a:ext uri="{FF2B5EF4-FFF2-40B4-BE49-F238E27FC236}">
              <a16:creationId xmlns:a16="http://schemas.microsoft.com/office/drawing/2014/main" id="{B6EA776C-4BD4-4797-9B92-D2892373C56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66" name="Isosceles Triangle 1765">
          <a:extLst>
            <a:ext uri="{FF2B5EF4-FFF2-40B4-BE49-F238E27FC236}">
              <a16:creationId xmlns:a16="http://schemas.microsoft.com/office/drawing/2014/main" id="{7EDB4CBB-E698-4FC5-8BEF-78810A0BB25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67" name="Isosceles Triangle 1766">
          <a:extLst>
            <a:ext uri="{FF2B5EF4-FFF2-40B4-BE49-F238E27FC236}">
              <a16:creationId xmlns:a16="http://schemas.microsoft.com/office/drawing/2014/main" id="{20072B56-07CB-4B1A-8923-61A951DC50E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68" name="Isosceles Triangle 1767">
          <a:extLst>
            <a:ext uri="{FF2B5EF4-FFF2-40B4-BE49-F238E27FC236}">
              <a16:creationId xmlns:a16="http://schemas.microsoft.com/office/drawing/2014/main" id="{0594449F-3333-4BD8-B4F7-703583DF874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69" name="Isosceles Triangle 1768">
          <a:extLst>
            <a:ext uri="{FF2B5EF4-FFF2-40B4-BE49-F238E27FC236}">
              <a16:creationId xmlns:a16="http://schemas.microsoft.com/office/drawing/2014/main" id="{E000F6F4-5C87-4710-8E68-E35507286B3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70" name="Isosceles Triangle 1769">
          <a:extLst>
            <a:ext uri="{FF2B5EF4-FFF2-40B4-BE49-F238E27FC236}">
              <a16:creationId xmlns:a16="http://schemas.microsoft.com/office/drawing/2014/main" id="{E92A6668-6CB3-4D8A-872A-EB2541C7FB3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71" name="Isosceles Triangle 1770">
          <a:extLst>
            <a:ext uri="{FF2B5EF4-FFF2-40B4-BE49-F238E27FC236}">
              <a16:creationId xmlns:a16="http://schemas.microsoft.com/office/drawing/2014/main" id="{A3164FE2-3051-4318-87B7-05377CF4FCC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72" name="Isosceles Triangle 1771">
          <a:extLst>
            <a:ext uri="{FF2B5EF4-FFF2-40B4-BE49-F238E27FC236}">
              <a16:creationId xmlns:a16="http://schemas.microsoft.com/office/drawing/2014/main" id="{56A850FF-5967-4706-A992-198944E7801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73" name="Isosceles Triangle 1772">
          <a:extLst>
            <a:ext uri="{FF2B5EF4-FFF2-40B4-BE49-F238E27FC236}">
              <a16:creationId xmlns:a16="http://schemas.microsoft.com/office/drawing/2014/main" id="{B02A80A1-6D04-4594-B5AF-16B3FAC4CEB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74" name="Isosceles Triangle 1773">
          <a:extLst>
            <a:ext uri="{FF2B5EF4-FFF2-40B4-BE49-F238E27FC236}">
              <a16:creationId xmlns:a16="http://schemas.microsoft.com/office/drawing/2014/main" id="{870A6B9F-99D7-452F-B69D-2A4366F3BD1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75" name="Isosceles Triangle 1774">
          <a:extLst>
            <a:ext uri="{FF2B5EF4-FFF2-40B4-BE49-F238E27FC236}">
              <a16:creationId xmlns:a16="http://schemas.microsoft.com/office/drawing/2014/main" id="{A2862A12-7E45-4100-A0E0-8567D1B43C1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76" name="Isosceles Triangle 1775">
          <a:extLst>
            <a:ext uri="{FF2B5EF4-FFF2-40B4-BE49-F238E27FC236}">
              <a16:creationId xmlns:a16="http://schemas.microsoft.com/office/drawing/2014/main" id="{7CE093B1-3721-45DB-A650-EB24E70AD2A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77" name="Isosceles Triangle 1776">
          <a:extLst>
            <a:ext uri="{FF2B5EF4-FFF2-40B4-BE49-F238E27FC236}">
              <a16:creationId xmlns:a16="http://schemas.microsoft.com/office/drawing/2014/main" id="{C462EFF4-4AE3-4A17-8FDC-199CB65B819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78" name="Isosceles Triangle 1777">
          <a:extLst>
            <a:ext uri="{FF2B5EF4-FFF2-40B4-BE49-F238E27FC236}">
              <a16:creationId xmlns:a16="http://schemas.microsoft.com/office/drawing/2014/main" id="{7B23382D-4F00-409B-BEDA-97DA0FF14B7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79" name="Isosceles Triangle 1778">
          <a:extLst>
            <a:ext uri="{FF2B5EF4-FFF2-40B4-BE49-F238E27FC236}">
              <a16:creationId xmlns:a16="http://schemas.microsoft.com/office/drawing/2014/main" id="{6CE258A5-77FF-4D0C-AF26-9E37A6F1AE3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80" name="Isosceles Triangle 1779">
          <a:extLst>
            <a:ext uri="{FF2B5EF4-FFF2-40B4-BE49-F238E27FC236}">
              <a16:creationId xmlns:a16="http://schemas.microsoft.com/office/drawing/2014/main" id="{9738FDDB-3C9B-4F7D-8612-7A2593A5504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81" name="Isosceles Triangle 1780">
          <a:extLst>
            <a:ext uri="{FF2B5EF4-FFF2-40B4-BE49-F238E27FC236}">
              <a16:creationId xmlns:a16="http://schemas.microsoft.com/office/drawing/2014/main" id="{2A879FED-282A-4D8C-803D-CA799F19176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82" name="Isosceles Triangle 1781">
          <a:extLst>
            <a:ext uri="{FF2B5EF4-FFF2-40B4-BE49-F238E27FC236}">
              <a16:creationId xmlns:a16="http://schemas.microsoft.com/office/drawing/2014/main" id="{1C3FC92C-A906-4CEF-BA99-E27634183BA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83" name="Isosceles Triangle 1782">
          <a:extLst>
            <a:ext uri="{FF2B5EF4-FFF2-40B4-BE49-F238E27FC236}">
              <a16:creationId xmlns:a16="http://schemas.microsoft.com/office/drawing/2014/main" id="{DEAD7202-64A1-4699-905A-140BB91567E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84" name="Isosceles Triangle 1783">
          <a:extLst>
            <a:ext uri="{FF2B5EF4-FFF2-40B4-BE49-F238E27FC236}">
              <a16:creationId xmlns:a16="http://schemas.microsoft.com/office/drawing/2014/main" id="{FBD4C246-9F0F-407A-974D-E06D0E1AB57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85" name="Isosceles Triangle 1784">
          <a:extLst>
            <a:ext uri="{FF2B5EF4-FFF2-40B4-BE49-F238E27FC236}">
              <a16:creationId xmlns:a16="http://schemas.microsoft.com/office/drawing/2014/main" id="{B71ADF8C-1B0A-4060-B920-871AAA0B249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86" name="Isosceles Triangle 1785">
          <a:extLst>
            <a:ext uri="{FF2B5EF4-FFF2-40B4-BE49-F238E27FC236}">
              <a16:creationId xmlns:a16="http://schemas.microsoft.com/office/drawing/2014/main" id="{D62A51CF-44C9-42A2-9232-54E82DC9016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87" name="Isosceles Triangle 1786">
          <a:extLst>
            <a:ext uri="{FF2B5EF4-FFF2-40B4-BE49-F238E27FC236}">
              <a16:creationId xmlns:a16="http://schemas.microsoft.com/office/drawing/2014/main" id="{CD3B696B-04CE-48D0-ACF7-39FFFAEBE90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88" name="Isosceles Triangle 1787">
          <a:extLst>
            <a:ext uri="{FF2B5EF4-FFF2-40B4-BE49-F238E27FC236}">
              <a16:creationId xmlns:a16="http://schemas.microsoft.com/office/drawing/2014/main" id="{37E9652C-EEB3-4F3D-92A2-C52D57D6757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89" name="Isosceles Triangle 1788">
          <a:extLst>
            <a:ext uri="{FF2B5EF4-FFF2-40B4-BE49-F238E27FC236}">
              <a16:creationId xmlns:a16="http://schemas.microsoft.com/office/drawing/2014/main" id="{2032566A-FD3F-46BE-BAF1-4FF374C3491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90" name="Isosceles Triangle 1789">
          <a:extLst>
            <a:ext uri="{FF2B5EF4-FFF2-40B4-BE49-F238E27FC236}">
              <a16:creationId xmlns:a16="http://schemas.microsoft.com/office/drawing/2014/main" id="{C264D97C-B9C9-4B69-9137-69B074E3341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91" name="Isosceles Triangle 1790">
          <a:extLst>
            <a:ext uri="{FF2B5EF4-FFF2-40B4-BE49-F238E27FC236}">
              <a16:creationId xmlns:a16="http://schemas.microsoft.com/office/drawing/2014/main" id="{EBBDBC8F-CB92-4E9D-83CE-68A5B6A96E8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1792" name="Isosceles Triangle 1791">
          <a:extLst>
            <a:ext uri="{FF2B5EF4-FFF2-40B4-BE49-F238E27FC236}">
              <a16:creationId xmlns:a16="http://schemas.microsoft.com/office/drawing/2014/main" id="{F0C1EB85-4DDF-4071-BE75-838A2F3727B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93" name="Isosceles Triangle 1792">
          <a:extLst>
            <a:ext uri="{FF2B5EF4-FFF2-40B4-BE49-F238E27FC236}">
              <a16:creationId xmlns:a16="http://schemas.microsoft.com/office/drawing/2014/main" id="{59B59FBD-EA11-4D32-930B-9A523FA3156A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94" name="Isosceles Triangle 1793">
          <a:extLst>
            <a:ext uri="{FF2B5EF4-FFF2-40B4-BE49-F238E27FC236}">
              <a16:creationId xmlns:a16="http://schemas.microsoft.com/office/drawing/2014/main" id="{7E33EB55-FFC9-4470-8760-D65D90CBD9FC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95" name="Isosceles Triangle 1794">
          <a:extLst>
            <a:ext uri="{FF2B5EF4-FFF2-40B4-BE49-F238E27FC236}">
              <a16:creationId xmlns:a16="http://schemas.microsoft.com/office/drawing/2014/main" id="{7B6C72F6-04F6-4236-8D1D-DFBB1621061A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96" name="Isosceles Triangle 1795">
          <a:extLst>
            <a:ext uri="{FF2B5EF4-FFF2-40B4-BE49-F238E27FC236}">
              <a16:creationId xmlns:a16="http://schemas.microsoft.com/office/drawing/2014/main" id="{21EC1F31-5859-483E-AD9D-61115B6AA8DC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97" name="Isosceles Triangle 1796">
          <a:extLst>
            <a:ext uri="{FF2B5EF4-FFF2-40B4-BE49-F238E27FC236}">
              <a16:creationId xmlns:a16="http://schemas.microsoft.com/office/drawing/2014/main" id="{E73D3907-7C27-4400-BD05-A0EEBEBAAE19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98" name="Isosceles Triangle 1797">
          <a:extLst>
            <a:ext uri="{FF2B5EF4-FFF2-40B4-BE49-F238E27FC236}">
              <a16:creationId xmlns:a16="http://schemas.microsoft.com/office/drawing/2014/main" id="{CD185039-ABD9-40D1-BD7F-E48E99C34CAA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99" name="Isosceles Triangle 1798">
          <a:extLst>
            <a:ext uri="{FF2B5EF4-FFF2-40B4-BE49-F238E27FC236}">
              <a16:creationId xmlns:a16="http://schemas.microsoft.com/office/drawing/2014/main" id="{AC608F79-F000-4147-8E42-264C000024C8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00" name="Isosceles Triangle 1799">
          <a:extLst>
            <a:ext uri="{FF2B5EF4-FFF2-40B4-BE49-F238E27FC236}">
              <a16:creationId xmlns:a16="http://schemas.microsoft.com/office/drawing/2014/main" id="{37F66284-EC1C-450E-B50B-A779B26BE7C3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01" name="Isosceles Triangle 1800">
          <a:extLst>
            <a:ext uri="{FF2B5EF4-FFF2-40B4-BE49-F238E27FC236}">
              <a16:creationId xmlns:a16="http://schemas.microsoft.com/office/drawing/2014/main" id="{D6C76E5F-1EAE-47F4-8768-8D841859ECA9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02" name="Isosceles Triangle 1801">
          <a:extLst>
            <a:ext uri="{FF2B5EF4-FFF2-40B4-BE49-F238E27FC236}">
              <a16:creationId xmlns:a16="http://schemas.microsoft.com/office/drawing/2014/main" id="{D9C928F1-F91A-45DD-8B13-6672EB825702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03" name="Isosceles Triangle 1802">
          <a:extLst>
            <a:ext uri="{FF2B5EF4-FFF2-40B4-BE49-F238E27FC236}">
              <a16:creationId xmlns:a16="http://schemas.microsoft.com/office/drawing/2014/main" id="{252EE3D4-4C3F-4406-BDDA-026F509BC3BE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04" name="Isosceles Triangle 1803">
          <a:extLst>
            <a:ext uri="{FF2B5EF4-FFF2-40B4-BE49-F238E27FC236}">
              <a16:creationId xmlns:a16="http://schemas.microsoft.com/office/drawing/2014/main" id="{455D2F20-D3FE-469E-BB87-384CDD49654A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05" name="Isosceles Triangle 1804">
          <a:extLst>
            <a:ext uri="{FF2B5EF4-FFF2-40B4-BE49-F238E27FC236}">
              <a16:creationId xmlns:a16="http://schemas.microsoft.com/office/drawing/2014/main" id="{EDE313D3-4875-4226-B701-49F6F1AA0EEC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06" name="Isosceles Triangle 1805">
          <a:extLst>
            <a:ext uri="{FF2B5EF4-FFF2-40B4-BE49-F238E27FC236}">
              <a16:creationId xmlns:a16="http://schemas.microsoft.com/office/drawing/2014/main" id="{3A4DA396-21CE-45E3-82F2-7A89AAF679DB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07" name="Isosceles Triangle 1806">
          <a:extLst>
            <a:ext uri="{FF2B5EF4-FFF2-40B4-BE49-F238E27FC236}">
              <a16:creationId xmlns:a16="http://schemas.microsoft.com/office/drawing/2014/main" id="{781F6F5A-7215-4668-B36B-114B2AD567D2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08" name="Isosceles Triangle 1807">
          <a:extLst>
            <a:ext uri="{FF2B5EF4-FFF2-40B4-BE49-F238E27FC236}">
              <a16:creationId xmlns:a16="http://schemas.microsoft.com/office/drawing/2014/main" id="{D1FF9F89-5B5B-4CCF-AEDD-0EE9DC8981F2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09" name="Isosceles Triangle 1808">
          <a:extLst>
            <a:ext uri="{FF2B5EF4-FFF2-40B4-BE49-F238E27FC236}">
              <a16:creationId xmlns:a16="http://schemas.microsoft.com/office/drawing/2014/main" id="{31B36FF0-9297-473C-8097-92FC5A0C1022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10" name="Isosceles Triangle 1809">
          <a:extLst>
            <a:ext uri="{FF2B5EF4-FFF2-40B4-BE49-F238E27FC236}">
              <a16:creationId xmlns:a16="http://schemas.microsoft.com/office/drawing/2014/main" id="{A2A936AF-5B78-4B78-9C3C-842372F848D1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11" name="Isosceles Triangle 1810">
          <a:extLst>
            <a:ext uri="{FF2B5EF4-FFF2-40B4-BE49-F238E27FC236}">
              <a16:creationId xmlns:a16="http://schemas.microsoft.com/office/drawing/2014/main" id="{6417DE58-8857-443E-9053-6363F18D4613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12" name="Isosceles Triangle 1811">
          <a:extLst>
            <a:ext uri="{FF2B5EF4-FFF2-40B4-BE49-F238E27FC236}">
              <a16:creationId xmlns:a16="http://schemas.microsoft.com/office/drawing/2014/main" id="{8DE96A89-A575-4521-8ECE-93BAB0FFB21D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13" name="Isosceles Triangle 1812">
          <a:extLst>
            <a:ext uri="{FF2B5EF4-FFF2-40B4-BE49-F238E27FC236}">
              <a16:creationId xmlns:a16="http://schemas.microsoft.com/office/drawing/2014/main" id="{8E038FBC-B811-4B85-B39B-52D67A1A7A58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14" name="Isosceles Triangle 1813">
          <a:extLst>
            <a:ext uri="{FF2B5EF4-FFF2-40B4-BE49-F238E27FC236}">
              <a16:creationId xmlns:a16="http://schemas.microsoft.com/office/drawing/2014/main" id="{1BB0FD85-17AE-487A-B563-AFDA872CB2CD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15" name="Isosceles Triangle 1814">
          <a:extLst>
            <a:ext uri="{FF2B5EF4-FFF2-40B4-BE49-F238E27FC236}">
              <a16:creationId xmlns:a16="http://schemas.microsoft.com/office/drawing/2014/main" id="{42EA7F49-DDD1-435A-B220-6FA6CB55E87D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16" name="Isosceles Triangle 1815">
          <a:extLst>
            <a:ext uri="{FF2B5EF4-FFF2-40B4-BE49-F238E27FC236}">
              <a16:creationId xmlns:a16="http://schemas.microsoft.com/office/drawing/2014/main" id="{E8023D7F-19AA-42C3-83AB-9C9ABECBC328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17" name="Isosceles Triangle 1816">
          <a:extLst>
            <a:ext uri="{FF2B5EF4-FFF2-40B4-BE49-F238E27FC236}">
              <a16:creationId xmlns:a16="http://schemas.microsoft.com/office/drawing/2014/main" id="{F52AED9A-EFA7-4561-9B32-BA4095EBE073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818" name="Isosceles Triangle 1817">
          <a:extLst>
            <a:ext uri="{FF2B5EF4-FFF2-40B4-BE49-F238E27FC236}">
              <a16:creationId xmlns:a16="http://schemas.microsoft.com/office/drawing/2014/main" id="{71AAD046-85FF-48A7-9625-621A49C37B96}"/>
            </a:ext>
          </a:extLst>
        </xdr:cNvPr>
        <xdr:cNvSpPr/>
      </xdr:nvSpPr>
      <xdr:spPr>
        <a:xfrm rot="10800000">
          <a:off x="14088917" y="58997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19" name="Isosceles Triangle 1818">
          <a:extLst>
            <a:ext uri="{FF2B5EF4-FFF2-40B4-BE49-F238E27FC236}">
              <a16:creationId xmlns:a16="http://schemas.microsoft.com/office/drawing/2014/main" id="{CD9196EF-BA45-4CD9-835A-402A06CC2994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20" name="Isosceles Triangle 1819">
          <a:extLst>
            <a:ext uri="{FF2B5EF4-FFF2-40B4-BE49-F238E27FC236}">
              <a16:creationId xmlns:a16="http://schemas.microsoft.com/office/drawing/2014/main" id="{99640F94-7DEC-46E9-95E9-ADACF45BBF0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21" name="Isosceles Triangle 1820">
          <a:extLst>
            <a:ext uri="{FF2B5EF4-FFF2-40B4-BE49-F238E27FC236}">
              <a16:creationId xmlns:a16="http://schemas.microsoft.com/office/drawing/2014/main" id="{9326AD04-3472-49B7-8301-773DDF6B511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22" name="Isosceles Triangle 1821">
          <a:extLst>
            <a:ext uri="{FF2B5EF4-FFF2-40B4-BE49-F238E27FC236}">
              <a16:creationId xmlns:a16="http://schemas.microsoft.com/office/drawing/2014/main" id="{C9D9AF6C-B59C-4610-B512-A5084FBFE18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23" name="Isosceles Triangle 1822">
          <a:extLst>
            <a:ext uri="{FF2B5EF4-FFF2-40B4-BE49-F238E27FC236}">
              <a16:creationId xmlns:a16="http://schemas.microsoft.com/office/drawing/2014/main" id="{68A6B135-BDBB-4C0D-908F-241E5FF55AF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24" name="Isosceles Triangle 1823">
          <a:extLst>
            <a:ext uri="{FF2B5EF4-FFF2-40B4-BE49-F238E27FC236}">
              <a16:creationId xmlns:a16="http://schemas.microsoft.com/office/drawing/2014/main" id="{962F337F-8C32-4BAC-BBA9-A71D6BBECB74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25" name="Isosceles Triangle 1824">
          <a:extLst>
            <a:ext uri="{FF2B5EF4-FFF2-40B4-BE49-F238E27FC236}">
              <a16:creationId xmlns:a16="http://schemas.microsoft.com/office/drawing/2014/main" id="{60475E50-B4BE-4E5D-A810-CC0E7BBA7BB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26" name="Isosceles Triangle 1825">
          <a:extLst>
            <a:ext uri="{FF2B5EF4-FFF2-40B4-BE49-F238E27FC236}">
              <a16:creationId xmlns:a16="http://schemas.microsoft.com/office/drawing/2014/main" id="{3BC8C388-9A2A-4642-A14F-1DF8C404CF9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27" name="Isosceles Triangle 1826">
          <a:extLst>
            <a:ext uri="{FF2B5EF4-FFF2-40B4-BE49-F238E27FC236}">
              <a16:creationId xmlns:a16="http://schemas.microsoft.com/office/drawing/2014/main" id="{34A95ABF-88E7-4F00-BFD3-C8AA475568B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28" name="Isosceles Triangle 1827">
          <a:extLst>
            <a:ext uri="{FF2B5EF4-FFF2-40B4-BE49-F238E27FC236}">
              <a16:creationId xmlns:a16="http://schemas.microsoft.com/office/drawing/2014/main" id="{74EEAF66-471C-4DD8-AB69-2C75DE74B07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29" name="Isosceles Triangle 1828">
          <a:extLst>
            <a:ext uri="{FF2B5EF4-FFF2-40B4-BE49-F238E27FC236}">
              <a16:creationId xmlns:a16="http://schemas.microsoft.com/office/drawing/2014/main" id="{EDF1DE7D-F241-40F2-BFC8-5FAF8FDD5E1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30" name="Isosceles Triangle 1829">
          <a:extLst>
            <a:ext uri="{FF2B5EF4-FFF2-40B4-BE49-F238E27FC236}">
              <a16:creationId xmlns:a16="http://schemas.microsoft.com/office/drawing/2014/main" id="{A98257A9-426D-4B66-947C-9F19E325D75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31" name="Isosceles Triangle 1830">
          <a:extLst>
            <a:ext uri="{FF2B5EF4-FFF2-40B4-BE49-F238E27FC236}">
              <a16:creationId xmlns:a16="http://schemas.microsoft.com/office/drawing/2014/main" id="{34A2A53B-7019-4AB5-A0CD-2628EE3484B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32" name="Isosceles Triangle 1831">
          <a:extLst>
            <a:ext uri="{FF2B5EF4-FFF2-40B4-BE49-F238E27FC236}">
              <a16:creationId xmlns:a16="http://schemas.microsoft.com/office/drawing/2014/main" id="{BBB6A7E1-1231-4FE4-88B0-15A302C69C4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33" name="Isosceles Triangle 1832">
          <a:extLst>
            <a:ext uri="{FF2B5EF4-FFF2-40B4-BE49-F238E27FC236}">
              <a16:creationId xmlns:a16="http://schemas.microsoft.com/office/drawing/2014/main" id="{AB39846A-3327-4706-A2D3-125A802D43A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34" name="Isosceles Triangle 1833">
          <a:extLst>
            <a:ext uri="{FF2B5EF4-FFF2-40B4-BE49-F238E27FC236}">
              <a16:creationId xmlns:a16="http://schemas.microsoft.com/office/drawing/2014/main" id="{7A97C139-3685-4300-8853-C899A99CE7D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35" name="Isosceles Triangle 1834">
          <a:extLst>
            <a:ext uri="{FF2B5EF4-FFF2-40B4-BE49-F238E27FC236}">
              <a16:creationId xmlns:a16="http://schemas.microsoft.com/office/drawing/2014/main" id="{9032B0F5-D96F-4250-9A44-0A776A0891D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36" name="Isosceles Triangle 1835">
          <a:extLst>
            <a:ext uri="{FF2B5EF4-FFF2-40B4-BE49-F238E27FC236}">
              <a16:creationId xmlns:a16="http://schemas.microsoft.com/office/drawing/2014/main" id="{24EB0F9E-924C-4E14-8FB9-992FA3ED7201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37" name="Isosceles Triangle 1836">
          <a:extLst>
            <a:ext uri="{FF2B5EF4-FFF2-40B4-BE49-F238E27FC236}">
              <a16:creationId xmlns:a16="http://schemas.microsoft.com/office/drawing/2014/main" id="{97D06FB9-9C60-40A0-BF46-0E4EE65DB832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38" name="Isosceles Triangle 1837">
          <a:extLst>
            <a:ext uri="{FF2B5EF4-FFF2-40B4-BE49-F238E27FC236}">
              <a16:creationId xmlns:a16="http://schemas.microsoft.com/office/drawing/2014/main" id="{AC3C3EB6-39A2-4AB5-9A87-EA59A0A9975A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39" name="Isosceles Triangle 1838">
          <a:extLst>
            <a:ext uri="{FF2B5EF4-FFF2-40B4-BE49-F238E27FC236}">
              <a16:creationId xmlns:a16="http://schemas.microsoft.com/office/drawing/2014/main" id="{DA68E289-9AA8-47A7-AE18-DAE1D42EB745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40" name="Isosceles Triangle 1839">
          <a:extLst>
            <a:ext uri="{FF2B5EF4-FFF2-40B4-BE49-F238E27FC236}">
              <a16:creationId xmlns:a16="http://schemas.microsoft.com/office/drawing/2014/main" id="{7617CFD3-4356-42CC-9507-44D542073B9B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41" name="Isosceles Triangle 1840">
          <a:extLst>
            <a:ext uri="{FF2B5EF4-FFF2-40B4-BE49-F238E27FC236}">
              <a16:creationId xmlns:a16="http://schemas.microsoft.com/office/drawing/2014/main" id="{596DE094-27FD-4308-8BF4-95781841517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42" name="Isosceles Triangle 1841">
          <a:extLst>
            <a:ext uri="{FF2B5EF4-FFF2-40B4-BE49-F238E27FC236}">
              <a16:creationId xmlns:a16="http://schemas.microsoft.com/office/drawing/2014/main" id="{8B6FE8F6-70E8-4BDF-BBF7-7C61A2EC0D01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43" name="Isosceles Triangle 1842">
          <a:extLst>
            <a:ext uri="{FF2B5EF4-FFF2-40B4-BE49-F238E27FC236}">
              <a16:creationId xmlns:a16="http://schemas.microsoft.com/office/drawing/2014/main" id="{8DDE5092-F5AB-4885-8A16-8E8FBC8B3DE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44" name="Isosceles Triangle 1843">
          <a:extLst>
            <a:ext uri="{FF2B5EF4-FFF2-40B4-BE49-F238E27FC236}">
              <a16:creationId xmlns:a16="http://schemas.microsoft.com/office/drawing/2014/main" id="{98F08D90-A4FA-4A5F-A524-4986E365221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45" name="Isosceles Triangle 1844">
          <a:extLst>
            <a:ext uri="{FF2B5EF4-FFF2-40B4-BE49-F238E27FC236}">
              <a16:creationId xmlns:a16="http://schemas.microsoft.com/office/drawing/2014/main" id="{0D8E8388-5D8F-4E48-98F0-A779A92EE32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46" name="Isosceles Triangle 1845">
          <a:extLst>
            <a:ext uri="{FF2B5EF4-FFF2-40B4-BE49-F238E27FC236}">
              <a16:creationId xmlns:a16="http://schemas.microsoft.com/office/drawing/2014/main" id="{03A3E776-DDEA-414C-AB91-CD4C4D5EE95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47" name="Isosceles Triangle 1846">
          <a:extLst>
            <a:ext uri="{FF2B5EF4-FFF2-40B4-BE49-F238E27FC236}">
              <a16:creationId xmlns:a16="http://schemas.microsoft.com/office/drawing/2014/main" id="{98362575-FD6C-49AB-AA2C-C54A5F6C13C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48" name="Isosceles Triangle 1847">
          <a:extLst>
            <a:ext uri="{FF2B5EF4-FFF2-40B4-BE49-F238E27FC236}">
              <a16:creationId xmlns:a16="http://schemas.microsoft.com/office/drawing/2014/main" id="{A9B5DD4B-FF39-4B9C-945F-51645AB7E9C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49" name="Isosceles Triangle 1848">
          <a:extLst>
            <a:ext uri="{FF2B5EF4-FFF2-40B4-BE49-F238E27FC236}">
              <a16:creationId xmlns:a16="http://schemas.microsoft.com/office/drawing/2014/main" id="{60F3C693-A52C-412C-86D1-690AB39DE99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50" name="Isosceles Triangle 1849">
          <a:extLst>
            <a:ext uri="{FF2B5EF4-FFF2-40B4-BE49-F238E27FC236}">
              <a16:creationId xmlns:a16="http://schemas.microsoft.com/office/drawing/2014/main" id="{793F5B6D-BE33-4B2F-8224-3394ECEF373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51" name="Isosceles Triangle 1850">
          <a:extLst>
            <a:ext uri="{FF2B5EF4-FFF2-40B4-BE49-F238E27FC236}">
              <a16:creationId xmlns:a16="http://schemas.microsoft.com/office/drawing/2014/main" id="{9DC5AFF7-FCB6-40A6-90D3-E1F39D48A66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52" name="Isosceles Triangle 1851">
          <a:extLst>
            <a:ext uri="{FF2B5EF4-FFF2-40B4-BE49-F238E27FC236}">
              <a16:creationId xmlns:a16="http://schemas.microsoft.com/office/drawing/2014/main" id="{F7097E5F-12EC-405E-A57A-975CFC0FE2C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53" name="Isosceles Triangle 1852">
          <a:extLst>
            <a:ext uri="{FF2B5EF4-FFF2-40B4-BE49-F238E27FC236}">
              <a16:creationId xmlns:a16="http://schemas.microsoft.com/office/drawing/2014/main" id="{29F66381-1CDA-4004-8FBB-57B2FA73496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54" name="Isosceles Triangle 1853">
          <a:extLst>
            <a:ext uri="{FF2B5EF4-FFF2-40B4-BE49-F238E27FC236}">
              <a16:creationId xmlns:a16="http://schemas.microsoft.com/office/drawing/2014/main" id="{465FADBD-F578-4893-9CFD-409FECBD8B5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55" name="Isosceles Triangle 1854">
          <a:extLst>
            <a:ext uri="{FF2B5EF4-FFF2-40B4-BE49-F238E27FC236}">
              <a16:creationId xmlns:a16="http://schemas.microsoft.com/office/drawing/2014/main" id="{28BA3E9A-E044-4797-8331-A02A6DF2782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56" name="Isosceles Triangle 1855">
          <a:extLst>
            <a:ext uri="{FF2B5EF4-FFF2-40B4-BE49-F238E27FC236}">
              <a16:creationId xmlns:a16="http://schemas.microsoft.com/office/drawing/2014/main" id="{4FF1228A-4972-4433-B9BC-9FF9C58D76C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57" name="Isosceles Triangle 1856">
          <a:extLst>
            <a:ext uri="{FF2B5EF4-FFF2-40B4-BE49-F238E27FC236}">
              <a16:creationId xmlns:a16="http://schemas.microsoft.com/office/drawing/2014/main" id="{4BB581A0-A965-4F10-B502-484EC465217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58" name="Isosceles Triangle 1857">
          <a:extLst>
            <a:ext uri="{FF2B5EF4-FFF2-40B4-BE49-F238E27FC236}">
              <a16:creationId xmlns:a16="http://schemas.microsoft.com/office/drawing/2014/main" id="{F691DAA3-3556-4BB6-9BF4-253E0D0B142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59" name="Isosceles Triangle 1858">
          <a:extLst>
            <a:ext uri="{FF2B5EF4-FFF2-40B4-BE49-F238E27FC236}">
              <a16:creationId xmlns:a16="http://schemas.microsoft.com/office/drawing/2014/main" id="{4004ACBE-5AF9-41C3-883B-9C03786263F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60" name="Isosceles Triangle 1859">
          <a:extLst>
            <a:ext uri="{FF2B5EF4-FFF2-40B4-BE49-F238E27FC236}">
              <a16:creationId xmlns:a16="http://schemas.microsoft.com/office/drawing/2014/main" id="{7C9581F5-BFEA-4E50-8AD6-FC3DEA87E17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61" name="Isosceles Triangle 1860">
          <a:extLst>
            <a:ext uri="{FF2B5EF4-FFF2-40B4-BE49-F238E27FC236}">
              <a16:creationId xmlns:a16="http://schemas.microsoft.com/office/drawing/2014/main" id="{647AD5E6-79D6-49C5-B6E1-2AE7F11F06B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62" name="Isosceles Triangle 1861">
          <a:extLst>
            <a:ext uri="{FF2B5EF4-FFF2-40B4-BE49-F238E27FC236}">
              <a16:creationId xmlns:a16="http://schemas.microsoft.com/office/drawing/2014/main" id="{FE7B5FF9-0C52-4C9A-B28E-D06EEFAECA9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63" name="Isosceles Triangle 1862">
          <a:extLst>
            <a:ext uri="{FF2B5EF4-FFF2-40B4-BE49-F238E27FC236}">
              <a16:creationId xmlns:a16="http://schemas.microsoft.com/office/drawing/2014/main" id="{746DCD77-7B72-4912-A7BB-D1F57A5E051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64" name="Isosceles Triangle 1863">
          <a:extLst>
            <a:ext uri="{FF2B5EF4-FFF2-40B4-BE49-F238E27FC236}">
              <a16:creationId xmlns:a16="http://schemas.microsoft.com/office/drawing/2014/main" id="{48468499-DE57-4A64-A064-243232AF9A9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65" name="Isosceles Triangle 1864">
          <a:extLst>
            <a:ext uri="{FF2B5EF4-FFF2-40B4-BE49-F238E27FC236}">
              <a16:creationId xmlns:a16="http://schemas.microsoft.com/office/drawing/2014/main" id="{429BD727-4526-4080-B5E0-08765410FF8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66" name="Isosceles Triangle 1865">
          <a:extLst>
            <a:ext uri="{FF2B5EF4-FFF2-40B4-BE49-F238E27FC236}">
              <a16:creationId xmlns:a16="http://schemas.microsoft.com/office/drawing/2014/main" id="{DB9D935B-9E2E-459D-B83B-B7DB6B462CC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67" name="Isosceles Triangle 1866">
          <a:extLst>
            <a:ext uri="{FF2B5EF4-FFF2-40B4-BE49-F238E27FC236}">
              <a16:creationId xmlns:a16="http://schemas.microsoft.com/office/drawing/2014/main" id="{40BCA5A6-C9F7-4454-8AD7-B0B1A641A37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68" name="Isosceles Triangle 1867">
          <a:extLst>
            <a:ext uri="{FF2B5EF4-FFF2-40B4-BE49-F238E27FC236}">
              <a16:creationId xmlns:a16="http://schemas.microsoft.com/office/drawing/2014/main" id="{CFF0E1DB-2EB5-4F8C-B929-644842886C5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69" name="Isosceles Triangle 1868">
          <a:extLst>
            <a:ext uri="{FF2B5EF4-FFF2-40B4-BE49-F238E27FC236}">
              <a16:creationId xmlns:a16="http://schemas.microsoft.com/office/drawing/2014/main" id="{C9489C7E-EC7D-4200-A8D7-C07FEC21B6A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70" name="Isosceles Triangle 1869">
          <a:extLst>
            <a:ext uri="{FF2B5EF4-FFF2-40B4-BE49-F238E27FC236}">
              <a16:creationId xmlns:a16="http://schemas.microsoft.com/office/drawing/2014/main" id="{35E9D174-A386-401B-93F0-B3BE9F4FDF7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71" name="Isosceles Triangle 1870">
          <a:extLst>
            <a:ext uri="{FF2B5EF4-FFF2-40B4-BE49-F238E27FC236}">
              <a16:creationId xmlns:a16="http://schemas.microsoft.com/office/drawing/2014/main" id="{762AF97B-23DC-4F6C-8DDD-E1244FA7A4E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72" name="Isosceles Triangle 1871">
          <a:extLst>
            <a:ext uri="{FF2B5EF4-FFF2-40B4-BE49-F238E27FC236}">
              <a16:creationId xmlns:a16="http://schemas.microsoft.com/office/drawing/2014/main" id="{72E4470A-14B5-49E5-AEA4-F0C00724B83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73" name="Isosceles Triangle 1872">
          <a:extLst>
            <a:ext uri="{FF2B5EF4-FFF2-40B4-BE49-F238E27FC236}">
              <a16:creationId xmlns:a16="http://schemas.microsoft.com/office/drawing/2014/main" id="{8608A250-7E05-4966-8B0E-67E557A3CC2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74" name="Isosceles Triangle 1873">
          <a:extLst>
            <a:ext uri="{FF2B5EF4-FFF2-40B4-BE49-F238E27FC236}">
              <a16:creationId xmlns:a16="http://schemas.microsoft.com/office/drawing/2014/main" id="{C06859A3-CC21-41A3-A514-2B03524248D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75" name="Isosceles Triangle 1874">
          <a:extLst>
            <a:ext uri="{FF2B5EF4-FFF2-40B4-BE49-F238E27FC236}">
              <a16:creationId xmlns:a16="http://schemas.microsoft.com/office/drawing/2014/main" id="{EE82EE41-A35D-473E-923E-BBC3B953F5C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76" name="Isosceles Triangle 1875">
          <a:extLst>
            <a:ext uri="{FF2B5EF4-FFF2-40B4-BE49-F238E27FC236}">
              <a16:creationId xmlns:a16="http://schemas.microsoft.com/office/drawing/2014/main" id="{1D0C7F07-4588-4939-9321-2B1DC9BC3F4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77" name="Isosceles Triangle 1876">
          <a:extLst>
            <a:ext uri="{FF2B5EF4-FFF2-40B4-BE49-F238E27FC236}">
              <a16:creationId xmlns:a16="http://schemas.microsoft.com/office/drawing/2014/main" id="{A8E80CBD-C4A3-4621-AF03-69BA43CC87E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78" name="Isosceles Triangle 1877">
          <a:extLst>
            <a:ext uri="{FF2B5EF4-FFF2-40B4-BE49-F238E27FC236}">
              <a16:creationId xmlns:a16="http://schemas.microsoft.com/office/drawing/2014/main" id="{C01A160B-C2EA-48F1-90E5-BA67AA2EE8D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79" name="Isosceles Triangle 1878">
          <a:extLst>
            <a:ext uri="{FF2B5EF4-FFF2-40B4-BE49-F238E27FC236}">
              <a16:creationId xmlns:a16="http://schemas.microsoft.com/office/drawing/2014/main" id="{33E5BCCC-44E8-4FA3-AA8B-4516BE88CAB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80" name="Isosceles Triangle 1879">
          <a:extLst>
            <a:ext uri="{FF2B5EF4-FFF2-40B4-BE49-F238E27FC236}">
              <a16:creationId xmlns:a16="http://schemas.microsoft.com/office/drawing/2014/main" id="{0903BC73-B406-4402-BA53-3121CAD0928B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81" name="Isosceles Triangle 1880">
          <a:extLst>
            <a:ext uri="{FF2B5EF4-FFF2-40B4-BE49-F238E27FC236}">
              <a16:creationId xmlns:a16="http://schemas.microsoft.com/office/drawing/2014/main" id="{4E22AE30-EFF3-4435-8C46-CEFA9508DC5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82" name="Isosceles Triangle 1881">
          <a:extLst>
            <a:ext uri="{FF2B5EF4-FFF2-40B4-BE49-F238E27FC236}">
              <a16:creationId xmlns:a16="http://schemas.microsoft.com/office/drawing/2014/main" id="{E55EB9F2-FF74-4ABA-BA2A-6F91A3D92D4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83" name="Isosceles Triangle 1882">
          <a:extLst>
            <a:ext uri="{FF2B5EF4-FFF2-40B4-BE49-F238E27FC236}">
              <a16:creationId xmlns:a16="http://schemas.microsoft.com/office/drawing/2014/main" id="{853CD0BE-65DC-4312-BFF3-E9A01AB934D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84" name="Isosceles Triangle 1883">
          <a:extLst>
            <a:ext uri="{FF2B5EF4-FFF2-40B4-BE49-F238E27FC236}">
              <a16:creationId xmlns:a16="http://schemas.microsoft.com/office/drawing/2014/main" id="{E1EF3DD6-CFA8-45DB-8AFC-5A016EC9C8D9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85" name="Isosceles Triangle 1884">
          <a:extLst>
            <a:ext uri="{FF2B5EF4-FFF2-40B4-BE49-F238E27FC236}">
              <a16:creationId xmlns:a16="http://schemas.microsoft.com/office/drawing/2014/main" id="{8C1000F9-8BD2-4165-B5AE-39724C0352B4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86" name="Isosceles Triangle 1885">
          <a:extLst>
            <a:ext uri="{FF2B5EF4-FFF2-40B4-BE49-F238E27FC236}">
              <a16:creationId xmlns:a16="http://schemas.microsoft.com/office/drawing/2014/main" id="{E02FC6B9-396C-4D6B-809C-8F459A93047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87" name="Isosceles Triangle 1886">
          <a:extLst>
            <a:ext uri="{FF2B5EF4-FFF2-40B4-BE49-F238E27FC236}">
              <a16:creationId xmlns:a16="http://schemas.microsoft.com/office/drawing/2014/main" id="{CB4099A1-3A29-4195-9869-11B97F92EE5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88" name="Isosceles Triangle 1887">
          <a:extLst>
            <a:ext uri="{FF2B5EF4-FFF2-40B4-BE49-F238E27FC236}">
              <a16:creationId xmlns:a16="http://schemas.microsoft.com/office/drawing/2014/main" id="{6E0AD0A4-2F5D-4B16-AD37-E3954873F1E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89" name="Isosceles Triangle 1888">
          <a:extLst>
            <a:ext uri="{FF2B5EF4-FFF2-40B4-BE49-F238E27FC236}">
              <a16:creationId xmlns:a16="http://schemas.microsoft.com/office/drawing/2014/main" id="{3B0A8BC8-7B15-4A0F-8A6D-520B9F00D26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90" name="Isosceles Triangle 1889">
          <a:extLst>
            <a:ext uri="{FF2B5EF4-FFF2-40B4-BE49-F238E27FC236}">
              <a16:creationId xmlns:a16="http://schemas.microsoft.com/office/drawing/2014/main" id="{483217FA-756E-499D-83CB-885597F81BC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91" name="Isosceles Triangle 1890">
          <a:extLst>
            <a:ext uri="{FF2B5EF4-FFF2-40B4-BE49-F238E27FC236}">
              <a16:creationId xmlns:a16="http://schemas.microsoft.com/office/drawing/2014/main" id="{793AA5C7-6D57-4B77-B523-3941B5E833D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92" name="Isosceles Triangle 1891">
          <a:extLst>
            <a:ext uri="{FF2B5EF4-FFF2-40B4-BE49-F238E27FC236}">
              <a16:creationId xmlns:a16="http://schemas.microsoft.com/office/drawing/2014/main" id="{D2172B97-0C44-4756-9D43-285C8054642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93" name="Isosceles Triangle 1892">
          <a:extLst>
            <a:ext uri="{FF2B5EF4-FFF2-40B4-BE49-F238E27FC236}">
              <a16:creationId xmlns:a16="http://schemas.microsoft.com/office/drawing/2014/main" id="{B271875E-AC52-4BD9-8D3D-E7D3F6CA2A5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94" name="Isosceles Triangle 1893">
          <a:extLst>
            <a:ext uri="{FF2B5EF4-FFF2-40B4-BE49-F238E27FC236}">
              <a16:creationId xmlns:a16="http://schemas.microsoft.com/office/drawing/2014/main" id="{5546675D-B912-4C75-AC6C-C7327726FEC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95" name="Isosceles Triangle 1894">
          <a:extLst>
            <a:ext uri="{FF2B5EF4-FFF2-40B4-BE49-F238E27FC236}">
              <a16:creationId xmlns:a16="http://schemas.microsoft.com/office/drawing/2014/main" id="{0D305DA7-9A53-4103-95E7-8709B0F8030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896" name="Isosceles Triangle 1895">
          <a:extLst>
            <a:ext uri="{FF2B5EF4-FFF2-40B4-BE49-F238E27FC236}">
              <a16:creationId xmlns:a16="http://schemas.microsoft.com/office/drawing/2014/main" id="{DCA5D7E7-7EE7-4A4D-8450-C49633373EC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97" name="Isosceles Triangle 1896">
          <a:extLst>
            <a:ext uri="{FF2B5EF4-FFF2-40B4-BE49-F238E27FC236}">
              <a16:creationId xmlns:a16="http://schemas.microsoft.com/office/drawing/2014/main" id="{B1FBDEDA-F123-4722-B657-51863B2802A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98" name="Isosceles Triangle 1897">
          <a:extLst>
            <a:ext uri="{FF2B5EF4-FFF2-40B4-BE49-F238E27FC236}">
              <a16:creationId xmlns:a16="http://schemas.microsoft.com/office/drawing/2014/main" id="{51CE01FF-E6C8-4D75-A015-BB291DE69DA0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899" name="Isosceles Triangle 1898">
          <a:extLst>
            <a:ext uri="{FF2B5EF4-FFF2-40B4-BE49-F238E27FC236}">
              <a16:creationId xmlns:a16="http://schemas.microsoft.com/office/drawing/2014/main" id="{32EF5383-5985-4CD0-8D8D-4F99386DE587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00" name="Isosceles Triangle 1899">
          <a:extLst>
            <a:ext uri="{FF2B5EF4-FFF2-40B4-BE49-F238E27FC236}">
              <a16:creationId xmlns:a16="http://schemas.microsoft.com/office/drawing/2014/main" id="{B22E636D-728E-4900-9C3C-35CEBBE2364B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01" name="Isosceles Triangle 1900">
          <a:extLst>
            <a:ext uri="{FF2B5EF4-FFF2-40B4-BE49-F238E27FC236}">
              <a16:creationId xmlns:a16="http://schemas.microsoft.com/office/drawing/2014/main" id="{760BFF73-83DA-4846-A10B-BDD158ED2742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02" name="Isosceles Triangle 1901">
          <a:extLst>
            <a:ext uri="{FF2B5EF4-FFF2-40B4-BE49-F238E27FC236}">
              <a16:creationId xmlns:a16="http://schemas.microsoft.com/office/drawing/2014/main" id="{CD96292B-EB69-4FDA-BC7E-FFEE15B4A8D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03" name="Isosceles Triangle 1902">
          <a:extLst>
            <a:ext uri="{FF2B5EF4-FFF2-40B4-BE49-F238E27FC236}">
              <a16:creationId xmlns:a16="http://schemas.microsoft.com/office/drawing/2014/main" id="{D4A99310-FE39-4483-B673-A716E7F6F76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04" name="Isosceles Triangle 1903">
          <a:extLst>
            <a:ext uri="{FF2B5EF4-FFF2-40B4-BE49-F238E27FC236}">
              <a16:creationId xmlns:a16="http://schemas.microsoft.com/office/drawing/2014/main" id="{66480BD3-6D2C-46F8-B524-C0AFBC12F03C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05" name="Isosceles Triangle 1904">
          <a:extLst>
            <a:ext uri="{FF2B5EF4-FFF2-40B4-BE49-F238E27FC236}">
              <a16:creationId xmlns:a16="http://schemas.microsoft.com/office/drawing/2014/main" id="{79532CD8-E750-492E-90B6-F7B172ABBFB7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06" name="Isosceles Triangle 1905">
          <a:extLst>
            <a:ext uri="{FF2B5EF4-FFF2-40B4-BE49-F238E27FC236}">
              <a16:creationId xmlns:a16="http://schemas.microsoft.com/office/drawing/2014/main" id="{AC58FAF1-74EF-487B-A8A1-61D549E3F65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07" name="Isosceles Triangle 1906">
          <a:extLst>
            <a:ext uri="{FF2B5EF4-FFF2-40B4-BE49-F238E27FC236}">
              <a16:creationId xmlns:a16="http://schemas.microsoft.com/office/drawing/2014/main" id="{EA0AA277-A300-411D-A3EA-CA258523130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08" name="Isosceles Triangle 1907">
          <a:extLst>
            <a:ext uri="{FF2B5EF4-FFF2-40B4-BE49-F238E27FC236}">
              <a16:creationId xmlns:a16="http://schemas.microsoft.com/office/drawing/2014/main" id="{BB50473D-AD51-4244-983B-2EF5229C30F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09" name="Isosceles Triangle 1908">
          <a:extLst>
            <a:ext uri="{FF2B5EF4-FFF2-40B4-BE49-F238E27FC236}">
              <a16:creationId xmlns:a16="http://schemas.microsoft.com/office/drawing/2014/main" id="{7DE65BEC-05D9-4580-909A-D30BCEE4466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10" name="Isosceles Triangle 1909">
          <a:extLst>
            <a:ext uri="{FF2B5EF4-FFF2-40B4-BE49-F238E27FC236}">
              <a16:creationId xmlns:a16="http://schemas.microsoft.com/office/drawing/2014/main" id="{8DD1D97E-2420-4D3D-A7BC-31BAB33B94F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11" name="Isosceles Triangle 1910">
          <a:extLst>
            <a:ext uri="{FF2B5EF4-FFF2-40B4-BE49-F238E27FC236}">
              <a16:creationId xmlns:a16="http://schemas.microsoft.com/office/drawing/2014/main" id="{C8EBF2EF-BBDE-4CE5-BB46-2ACDFCD8818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12" name="Isosceles Triangle 1911">
          <a:extLst>
            <a:ext uri="{FF2B5EF4-FFF2-40B4-BE49-F238E27FC236}">
              <a16:creationId xmlns:a16="http://schemas.microsoft.com/office/drawing/2014/main" id="{F05C27FC-B448-4415-ADDA-E36E08F6D14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13" name="Isosceles Triangle 1912">
          <a:extLst>
            <a:ext uri="{FF2B5EF4-FFF2-40B4-BE49-F238E27FC236}">
              <a16:creationId xmlns:a16="http://schemas.microsoft.com/office/drawing/2014/main" id="{F6F5DCAB-A531-41A7-AB3A-9FEDA50C30F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14" name="Isosceles Triangle 1913">
          <a:extLst>
            <a:ext uri="{FF2B5EF4-FFF2-40B4-BE49-F238E27FC236}">
              <a16:creationId xmlns:a16="http://schemas.microsoft.com/office/drawing/2014/main" id="{9F6816FE-71EC-4E46-8528-582C6E63B28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15" name="Isosceles Triangle 1914">
          <a:extLst>
            <a:ext uri="{FF2B5EF4-FFF2-40B4-BE49-F238E27FC236}">
              <a16:creationId xmlns:a16="http://schemas.microsoft.com/office/drawing/2014/main" id="{E404AA71-0F67-482E-A5FE-A49A3CFD127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16" name="Isosceles Triangle 1915">
          <a:extLst>
            <a:ext uri="{FF2B5EF4-FFF2-40B4-BE49-F238E27FC236}">
              <a16:creationId xmlns:a16="http://schemas.microsoft.com/office/drawing/2014/main" id="{D1E83BCE-827A-425A-979D-F5EE2D08F51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17" name="Isosceles Triangle 1916">
          <a:extLst>
            <a:ext uri="{FF2B5EF4-FFF2-40B4-BE49-F238E27FC236}">
              <a16:creationId xmlns:a16="http://schemas.microsoft.com/office/drawing/2014/main" id="{0D644C4B-EBBA-4108-BF01-7364FE76BA7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18" name="Isosceles Triangle 1917">
          <a:extLst>
            <a:ext uri="{FF2B5EF4-FFF2-40B4-BE49-F238E27FC236}">
              <a16:creationId xmlns:a16="http://schemas.microsoft.com/office/drawing/2014/main" id="{362C6421-9974-4A73-BF93-DD1A9E8E9D4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19" name="Isosceles Triangle 1918">
          <a:extLst>
            <a:ext uri="{FF2B5EF4-FFF2-40B4-BE49-F238E27FC236}">
              <a16:creationId xmlns:a16="http://schemas.microsoft.com/office/drawing/2014/main" id="{4EA6A182-C415-4EB2-BBFD-5DF6F6834B5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20" name="Isosceles Triangle 1919">
          <a:extLst>
            <a:ext uri="{FF2B5EF4-FFF2-40B4-BE49-F238E27FC236}">
              <a16:creationId xmlns:a16="http://schemas.microsoft.com/office/drawing/2014/main" id="{F5E72FCB-5890-4B19-9EEA-C8ED0C68334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21" name="Isosceles Triangle 1920">
          <a:extLst>
            <a:ext uri="{FF2B5EF4-FFF2-40B4-BE49-F238E27FC236}">
              <a16:creationId xmlns:a16="http://schemas.microsoft.com/office/drawing/2014/main" id="{8245AB3D-BFB2-416B-90AA-69F07591DD7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22" name="Isosceles Triangle 1921">
          <a:extLst>
            <a:ext uri="{FF2B5EF4-FFF2-40B4-BE49-F238E27FC236}">
              <a16:creationId xmlns:a16="http://schemas.microsoft.com/office/drawing/2014/main" id="{565E0446-B60C-4994-A1F3-93C26FDFFA5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23" name="Isosceles Triangle 1922">
          <a:extLst>
            <a:ext uri="{FF2B5EF4-FFF2-40B4-BE49-F238E27FC236}">
              <a16:creationId xmlns:a16="http://schemas.microsoft.com/office/drawing/2014/main" id="{B762C641-B15A-479D-8268-877DD3EE2DE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24" name="Isosceles Triangle 1923">
          <a:extLst>
            <a:ext uri="{FF2B5EF4-FFF2-40B4-BE49-F238E27FC236}">
              <a16:creationId xmlns:a16="http://schemas.microsoft.com/office/drawing/2014/main" id="{E4CED2C6-B419-4C68-979E-E30E7FE520A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25" name="Isosceles Triangle 1924">
          <a:extLst>
            <a:ext uri="{FF2B5EF4-FFF2-40B4-BE49-F238E27FC236}">
              <a16:creationId xmlns:a16="http://schemas.microsoft.com/office/drawing/2014/main" id="{D88C6252-0E76-44B4-9A08-EB8D81695F7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26" name="Isosceles Triangle 1925">
          <a:extLst>
            <a:ext uri="{FF2B5EF4-FFF2-40B4-BE49-F238E27FC236}">
              <a16:creationId xmlns:a16="http://schemas.microsoft.com/office/drawing/2014/main" id="{EFD90C07-75CF-4B5B-B422-DBF4C18F2E3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27" name="Isosceles Triangle 1926">
          <a:extLst>
            <a:ext uri="{FF2B5EF4-FFF2-40B4-BE49-F238E27FC236}">
              <a16:creationId xmlns:a16="http://schemas.microsoft.com/office/drawing/2014/main" id="{826A6B72-E46B-4433-9B4B-9C5D1AD35E1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28" name="Isosceles Triangle 1927">
          <a:extLst>
            <a:ext uri="{FF2B5EF4-FFF2-40B4-BE49-F238E27FC236}">
              <a16:creationId xmlns:a16="http://schemas.microsoft.com/office/drawing/2014/main" id="{E74089A8-F493-457C-8F31-B86BA229B1F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29" name="Isosceles Triangle 1928">
          <a:extLst>
            <a:ext uri="{FF2B5EF4-FFF2-40B4-BE49-F238E27FC236}">
              <a16:creationId xmlns:a16="http://schemas.microsoft.com/office/drawing/2014/main" id="{9D249243-F154-4BF4-A285-94DD61F3485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30" name="Isosceles Triangle 1929">
          <a:extLst>
            <a:ext uri="{FF2B5EF4-FFF2-40B4-BE49-F238E27FC236}">
              <a16:creationId xmlns:a16="http://schemas.microsoft.com/office/drawing/2014/main" id="{AB7D4E04-F164-46AA-9246-0B503790F99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31" name="Isosceles Triangle 1930">
          <a:extLst>
            <a:ext uri="{FF2B5EF4-FFF2-40B4-BE49-F238E27FC236}">
              <a16:creationId xmlns:a16="http://schemas.microsoft.com/office/drawing/2014/main" id="{5D887B28-317B-465A-B836-B76C83A8FD4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32" name="Isosceles Triangle 1931">
          <a:extLst>
            <a:ext uri="{FF2B5EF4-FFF2-40B4-BE49-F238E27FC236}">
              <a16:creationId xmlns:a16="http://schemas.microsoft.com/office/drawing/2014/main" id="{4119A73E-7675-4388-BD79-250E7CD74CE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33" name="Isosceles Triangle 1932">
          <a:extLst>
            <a:ext uri="{FF2B5EF4-FFF2-40B4-BE49-F238E27FC236}">
              <a16:creationId xmlns:a16="http://schemas.microsoft.com/office/drawing/2014/main" id="{6D1D69FC-8C71-420F-8C08-795BF93F4F6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34" name="Isosceles Triangle 1933">
          <a:extLst>
            <a:ext uri="{FF2B5EF4-FFF2-40B4-BE49-F238E27FC236}">
              <a16:creationId xmlns:a16="http://schemas.microsoft.com/office/drawing/2014/main" id="{A79CD148-8076-4589-9EBD-F6FD7BCC82A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35" name="Isosceles Triangle 1934">
          <a:extLst>
            <a:ext uri="{FF2B5EF4-FFF2-40B4-BE49-F238E27FC236}">
              <a16:creationId xmlns:a16="http://schemas.microsoft.com/office/drawing/2014/main" id="{67E3B36F-AF96-43D1-B8F8-0F3F06F543D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36" name="Isosceles Triangle 1935">
          <a:extLst>
            <a:ext uri="{FF2B5EF4-FFF2-40B4-BE49-F238E27FC236}">
              <a16:creationId xmlns:a16="http://schemas.microsoft.com/office/drawing/2014/main" id="{EBECB991-7E30-4151-B9FF-BF438EAFE0E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37" name="Isosceles Triangle 1936">
          <a:extLst>
            <a:ext uri="{FF2B5EF4-FFF2-40B4-BE49-F238E27FC236}">
              <a16:creationId xmlns:a16="http://schemas.microsoft.com/office/drawing/2014/main" id="{5994632F-031A-4ACA-A657-5A5C8BC2F1E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38" name="Isosceles Triangle 1937">
          <a:extLst>
            <a:ext uri="{FF2B5EF4-FFF2-40B4-BE49-F238E27FC236}">
              <a16:creationId xmlns:a16="http://schemas.microsoft.com/office/drawing/2014/main" id="{E1BE00B2-2DEF-4EB6-927F-644941F5DC1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39" name="Isosceles Triangle 1938">
          <a:extLst>
            <a:ext uri="{FF2B5EF4-FFF2-40B4-BE49-F238E27FC236}">
              <a16:creationId xmlns:a16="http://schemas.microsoft.com/office/drawing/2014/main" id="{1B3C3490-6385-400D-9FF3-88E0D33768E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40" name="Isosceles Triangle 1939">
          <a:extLst>
            <a:ext uri="{FF2B5EF4-FFF2-40B4-BE49-F238E27FC236}">
              <a16:creationId xmlns:a16="http://schemas.microsoft.com/office/drawing/2014/main" id="{0A41115C-C94A-441E-B465-32A7C5BD910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41" name="Isosceles Triangle 1940">
          <a:extLst>
            <a:ext uri="{FF2B5EF4-FFF2-40B4-BE49-F238E27FC236}">
              <a16:creationId xmlns:a16="http://schemas.microsoft.com/office/drawing/2014/main" id="{2BEA2090-3DCF-4AD1-A0F5-A4A5B1008D6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42" name="Isosceles Triangle 1941">
          <a:extLst>
            <a:ext uri="{FF2B5EF4-FFF2-40B4-BE49-F238E27FC236}">
              <a16:creationId xmlns:a16="http://schemas.microsoft.com/office/drawing/2014/main" id="{9016A7B9-6C7A-497A-BE17-3042285FD04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43" name="Isosceles Triangle 1942">
          <a:extLst>
            <a:ext uri="{FF2B5EF4-FFF2-40B4-BE49-F238E27FC236}">
              <a16:creationId xmlns:a16="http://schemas.microsoft.com/office/drawing/2014/main" id="{9461DFF8-1FD7-46B6-9195-FA0104E4BD54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44" name="Isosceles Triangle 1943">
          <a:extLst>
            <a:ext uri="{FF2B5EF4-FFF2-40B4-BE49-F238E27FC236}">
              <a16:creationId xmlns:a16="http://schemas.microsoft.com/office/drawing/2014/main" id="{B8274217-57CB-4FB7-BEB0-0F135E6A1F3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45" name="Isosceles Triangle 1944">
          <a:extLst>
            <a:ext uri="{FF2B5EF4-FFF2-40B4-BE49-F238E27FC236}">
              <a16:creationId xmlns:a16="http://schemas.microsoft.com/office/drawing/2014/main" id="{08A54C19-3AEE-4467-9C25-57D8F04F000A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46" name="Isosceles Triangle 1945">
          <a:extLst>
            <a:ext uri="{FF2B5EF4-FFF2-40B4-BE49-F238E27FC236}">
              <a16:creationId xmlns:a16="http://schemas.microsoft.com/office/drawing/2014/main" id="{A64D94EE-12CB-4F3F-8F45-E88BF5EB53B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47" name="Isosceles Triangle 1946">
          <a:extLst>
            <a:ext uri="{FF2B5EF4-FFF2-40B4-BE49-F238E27FC236}">
              <a16:creationId xmlns:a16="http://schemas.microsoft.com/office/drawing/2014/main" id="{277470B7-FE29-4E57-9157-2B96CEDE184B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48" name="Isosceles Triangle 1947">
          <a:extLst>
            <a:ext uri="{FF2B5EF4-FFF2-40B4-BE49-F238E27FC236}">
              <a16:creationId xmlns:a16="http://schemas.microsoft.com/office/drawing/2014/main" id="{0EA4EA4B-F87B-4A79-8957-717DADA8353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49" name="Isosceles Triangle 1948">
          <a:extLst>
            <a:ext uri="{FF2B5EF4-FFF2-40B4-BE49-F238E27FC236}">
              <a16:creationId xmlns:a16="http://schemas.microsoft.com/office/drawing/2014/main" id="{05C27BE6-647B-4276-B4C9-7A20FE6F6C6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50" name="Isosceles Triangle 1949">
          <a:extLst>
            <a:ext uri="{FF2B5EF4-FFF2-40B4-BE49-F238E27FC236}">
              <a16:creationId xmlns:a16="http://schemas.microsoft.com/office/drawing/2014/main" id="{57391E36-3CD2-466E-94B4-48089209AAD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51" name="Isosceles Triangle 1950">
          <a:extLst>
            <a:ext uri="{FF2B5EF4-FFF2-40B4-BE49-F238E27FC236}">
              <a16:creationId xmlns:a16="http://schemas.microsoft.com/office/drawing/2014/main" id="{98AE7910-42BC-4504-9BA8-1C2E76799C2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52" name="Isosceles Triangle 1951">
          <a:extLst>
            <a:ext uri="{FF2B5EF4-FFF2-40B4-BE49-F238E27FC236}">
              <a16:creationId xmlns:a16="http://schemas.microsoft.com/office/drawing/2014/main" id="{0D23EFE4-C423-4EA8-AB7C-A96B70C0B24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53" name="Isosceles Triangle 1952">
          <a:extLst>
            <a:ext uri="{FF2B5EF4-FFF2-40B4-BE49-F238E27FC236}">
              <a16:creationId xmlns:a16="http://schemas.microsoft.com/office/drawing/2014/main" id="{3CACA4F0-16B2-4A1A-BD56-9E226242BCE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54" name="Isosceles Triangle 1953">
          <a:extLst>
            <a:ext uri="{FF2B5EF4-FFF2-40B4-BE49-F238E27FC236}">
              <a16:creationId xmlns:a16="http://schemas.microsoft.com/office/drawing/2014/main" id="{97CCEF90-609E-4A74-A1CB-945E87E4163B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55" name="Isosceles Triangle 1954">
          <a:extLst>
            <a:ext uri="{FF2B5EF4-FFF2-40B4-BE49-F238E27FC236}">
              <a16:creationId xmlns:a16="http://schemas.microsoft.com/office/drawing/2014/main" id="{56AC2BBE-AFB2-4422-85FA-CC2D89242E6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56" name="Isosceles Triangle 1955">
          <a:extLst>
            <a:ext uri="{FF2B5EF4-FFF2-40B4-BE49-F238E27FC236}">
              <a16:creationId xmlns:a16="http://schemas.microsoft.com/office/drawing/2014/main" id="{E7E6C90E-9FCC-4FD8-A55B-7B191CE38E2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57" name="Isosceles Triangle 1956">
          <a:extLst>
            <a:ext uri="{FF2B5EF4-FFF2-40B4-BE49-F238E27FC236}">
              <a16:creationId xmlns:a16="http://schemas.microsoft.com/office/drawing/2014/main" id="{AE231D97-10D0-4943-95AB-6E1D6ADDCDD7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58" name="Isosceles Triangle 1957">
          <a:extLst>
            <a:ext uri="{FF2B5EF4-FFF2-40B4-BE49-F238E27FC236}">
              <a16:creationId xmlns:a16="http://schemas.microsoft.com/office/drawing/2014/main" id="{81DDD106-45F5-4B7B-AC83-FCBE805C542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59" name="Isosceles Triangle 1958">
          <a:extLst>
            <a:ext uri="{FF2B5EF4-FFF2-40B4-BE49-F238E27FC236}">
              <a16:creationId xmlns:a16="http://schemas.microsoft.com/office/drawing/2014/main" id="{24642718-F836-4D80-AE2E-7F6D0C1567A9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60" name="Isosceles Triangle 1959">
          <a:extLst>
            <a:ext uri="{FF2B5EF4-FFF2-40B4-BE49-F238E27FC236}">
              <a16:creationId xmlns:a16="http://schemas.microsoft.com/office/drawing/2014/main" id="{F51B37D9-C55B-48E5-9B82-5211B4F1EF47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61" name="Isosceles Triangle 1960">
          <a:extLst>
            <a:ext uri="{FF2B5EF4-FFF2-40B4-BE49-F238E27FC236}">
              <a16:creationId xmlns:a16="http://schemas.microsoft.com/office/drawing/2014/main" id="{80C688DC-EA70-477C-AC49-77BBD114120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62" name="Isosceles Triangle 1961">
          <a:extLst>
            <a:ext uri="{FF2B5EF4-FFF2-40B4-BE49-F238E27FC236}">
              <a16:creationId xmlns:a16="http://schemas.microsoft.com/office/drawing/2014/main" id="{3BC76409-5E29-4A2B-8C81-916A7E66F3E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63" name="Isosceles Triangle 1962">
          <a:extLst>
            <a:ext uri="{FF2B5EF4-FFF2-40B4-BE49-F238E27FC236}">
              <a16:creationId xmlns:a16="http://schemas.microsoft.com/office/drawing/2014/main" id="{1E6C9AF4-79BA-4FCF-8E82-D17D7F942C2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64" name="Isosceles Triangle 1963">
          <a:extLst>
            <a:ext uri="{FF2B5EF4-FFF2-40B4-BE49-F238E27FC236}">
              <a16:creationId xmlns:a16="http://schemas.microsoft.com/office/drawing/2014/main" id="{9C9117C1-64AE-48FC-97FC-A4817DB0207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65" name="Isosceles Triangle 1964">
          <a:extLst>
            <a:ext uri="{FF2B5EF4-FFF2-40B4-BE49-F238E27FC236}">
              <a16:creationId xmlns:a16="http://schemas.microsoft.com/office/drawing/2014/main" id="{FD91B7BA-849D-4173-B030-80B209B2333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66" name="Isosceles Triangle 1965">
          <a:extLst>
            <a:ext uri="{FF2B5EF4-FFF2-40B4-BE49-F238E27FC236}">
              <a16:creationId xmlns:a16="http://schemas.microsoft.com/office/drawing/2014/main" id="{1A3D485F-1CE3-4455-A67C-C84653D04BD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67" name="Isosceles Triangle 1966">
          <a:extLst>
            <a:ext uri="{FF2B5EF4-FFF2-40B4-BE49-F238E27FC236}">
              <a16:creationId xmlns:a16="http://schemas.microsoft.com/office/drawing/2014/main" id="{92D9EAA0-284C-4B52-A139-6000E2616F0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68" name="Isosceles Triangle 1967">
          <a:extLst>
            <a:ext uri="{FF2B5EF4-FFF2-40B4-BE49-F238E27FC236}">
              <a16:creationId xmlns:a16="http://schemas.microsoft.com/office/drawing/2014/main" id="{F2EEC745-4D2C-4243-A66D-4E036718B88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69" name="Isosceles Triangle 1968">
          <a:extLst>
            <a:ext uri="{FF2B5EF4-FFF2-40B4-BE49-F238E27FC236}">
              <a16:creationId xmlns:a16="http://schemas.microsoft.com/office/drawing/2014/main" id="{7EA239B4-C079-4492-82F6-0635B7B2C0F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70" name="Isosceles Triangle 1969">
          <a:extLst>
            <a:ext uri="{FF2B5EF4-FFF2-40B4-BE49-F238E27FC236}">
              <a16:creationId xmlns:a16="http://schemas.microsoft.com/office/drawing/2014/main" id="{A03668F8-1E29-4363-87FE-45752D49151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71" name="Isosceles Triangle 1970">
          <a:extLst>
            <a:ext uri="{FF2B5EF4-FFF2-40B4-BE49-F238E27FC236}">
              <a16:creationId xmlns:a16="http://schemas.microsoft.com/office/drawing/2014/main" id="{9E1593EA-77D3-4511-B2B5-699240CE3F0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72" name="Isosceles Triangle 1971">
          <a:extLst>
            <a:ext uri="{FF2B5EF4-FFF2-40B4-BE49-F238E27FC236}">
              <a16:creationId xmlns:a16="http://schemas.microsoft.com/office/drawing/2014/main" id="{D645E866-992D-4BA4-99E0-50B39FFEA20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73" name="Isosceles Triangle 1972">
          <a:extLst>
            <a:ext uri="{FF2B5EF4-FFF2-40B4-BE49-F238E27FC236}">
              <a16:creationId xmlns:a16="http://schemas.microsoft.com/office/drawing/2014/main" id="{E2DD7166-B454-4F6F-90AB-AFB1C49F562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74" name="Isosceles Triangle 1973">
          <a:extLst>
            <a:ext uri="{FF2B5EF4-FFF2-40B4-BE49-F238E27FC236}">
              <a16:creationId xmlns:a16="http://schemas.microsoft.com/office/drawing/2014/main" id="{97B9E3D7-73D9-4BE0-9EFF-EFE29E798BB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75" name="Isosceles Triangle 1974">
          <a:extLst>
            <a:ext uri="{FF2B5EF4-FFF2-40B4-BE49-F238E27FC236}">
              <a16:creationId xmlns:a16="http://schemas.microsoft.com/office/drawing/2014/main" id="{FAC9893D-1A6F-4774-BB60-9D8251B2E81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76" name="Isosceles Triangle 1975">
          <a:extLst>
            <a:ext uri="{FF2B5EF4-FFF2-40B4-BE49-F238E27FC236}">
              <a16:creationId xmlns:a16="http://schemas.microsoft.com/office/drawing/2014/main" id="{381EFFA3-15C4-43D8-B9D3-A9814ECD520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77" name="Isosceles Triangle 1976">
          <a:extLst>
            <a:ext uri="{FF2B5EF4-FFF2-40B4-BE49-F238E27FC236}">
              <a16:creationId xmlns:a16="http://schemas.microsoft.com/office/drawing/2014/main" id="{A1D22B65-A45E-47EC-B71C-FB90B9DA145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78" name="Isosceles Triangle 1977">
          <a:extLst>
            <a:ext uri="{FF2B5EF4-FFF2-40B4-BE49-F238E27FC236}">
              <a16:creationId xmlns:a16="http://schemas.microsoft.com/office/drawing/2014/main" id="{79F66030-1F2A-4219-854C-98901F9FCAD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79" name="Isosceles Triangle 1978">
          <a:extLst>
            <a:ext uri="{FF2B5EF4-FFF2-40B4-BE49-F238E27FC236}">
              <a16:creationId xmlns:a16="http://schemas.microsoft.com/office/drawing/2014/main" id="{A6099D73-8748-4AD9-B002-4840FFA536C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80" name="Isosceles Triangle 1979">
          <a:extLst>
            <a:ext uri="{FF2B5EF4-FFF2-40B4-BE49-F238E27FC236}">
              <a16:creationId xmlns:a16="http://schemas.microsoft.com/office/drawing/2014/main" id="{B95FE821-1564-4E67-BF48-1C3E45D012A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81" name="Isosceles Triangle 1980">
          <a:extLst>
            <a:ext uri="{FF2B5EF4-FFF2-40B4-BE49-F238E27FC236}">
              <a16:creationId xmlns:a16="http://schemas.microsoft.com/office/drawing/2014/main" id="{409E2266-8848-4C55-B483-FD77E3C7C72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82" name="Isosceles Triangle 1981">
          <a:extLst>
            <a:ext uri="{FF2B5EF4-FFF2-40B4-BE49-F238E27FC236}">
              <a16:creationId xmlns:a16="http://schemas.microsoft.com/office/drawing/2014/main" id="{0B8208C5-7E49-4D87-AD36-DA10F10F5B2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83" name="Isosceles Triangle 1982">
          <a:extLst>
            <a:ext uri="{FF2B5EF4-FFF2-40B4-BE49-F238E27FC236}">
              <a16:creationId xmlns:a16="http://schemas.microsoft.com/office/drawing/2014/main" id="{A19D04FF-FBF5-4541-AC84-92D0DF983A4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84" name="Isosceles Triangle 1983">
          <a:extLst>
            <a:ext uri="{FF2B5EF4-FFF2-40B4-BE49-F238E27FC236}">
              <a16:creationId xmlns:a16="http://schemas.microsoft.com/office/drawing/2014/main" id="{C03D30E5-1E9A-425C-BEB3-E7B8607E679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85" name="Isosceles Triangle 1984">
          <a:extLst>
            <a:ext uri="{FF2B5EF4-FFF2-40B4-BE49-F238E27FC236}">
              <a16:creationId xmlns:a16="http://schemas.microsoft.com/office/drawing/2014/main" id="{2D839659-3294-4AA6-9A64-E0B76377B22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986" name="Isosceles Triangle 1985">
          <a:extLst>
            <a:ext uri="{FF2B5EF4-FFF2-40B4-BE49-F238E27FC236}">
              <a16:creationId xmlns:a16="http://schemas.microsoft.com/office/drawing/2014/main" id="{DD81C9BB-B4A5-4031-B4B3-038E2D83518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87" name="Isosceles Triangle 1986">
          <a:extLst>
            <a:ext uri="{FF2B5EF4-FFF2-40B4-BE49-F238E27FC236}">
              <a16:creationId xmlns:a16="http://schemas.microsoft.com/office/drawing/2014/main" id="{5784ACCA-4D66-4246-A3B1-DF096BA4CCB9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88" name="Isosceles Triangle 1987">
          <a:extLst>
            <a:ext uri="{FF2B5EF4-FFF2-40B4-BE49-F238E27FC236}">
              <a16:creationId xmlns:a16="http://schemas.microsoft.com/office/drawing/2014/main" id="{478FAAA3-079E-45F4-9BB7-E3D2BDBD25E3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89" name="Isosceles Triangle 1988">
          <a:extLst>
            <a:ext uri="{FF2B5EF4-FFF2-40B4-BE49-F238E27FC236}">
              <a16:creationId xmlns:a16="http://schemas.microsoft.com/office/drawing/2014/main" id="{B6101E72-2DA7-4479-9095-D5A76955E63C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90" name="Isosceles Triangle 1989">
          <a:extLst>
            <a:ext uri="{FF2B5EF4-FFF2-40B4-BE49-F238E27FC236}">
              <a16:creationId xmlns:a16="http://schemas.microsoft.com/office/drawing/2014/main" id="{AB1F3819-19AA-463B-9AB4-F315D697551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91" name="Isosceles Triangle 1990">
          <a:extLst>
            <a:ext uri="{FF2B5EF4-FFF2-40B4-BE49-F238E27FC236}">
              <a16:creationId xmlns:a16="http://schemas.microsoft.com/office/drawing/2014/main" id="{A8E1D314-ECB0-4EED-8481-328F28588EBA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92" name="Isosceles Triangle 1991">
          <a:extLst>
            <a:ext uri="{FF2B5EF4-FFF2-40B4-BE49-F238E27FC236}">
              <a16:creationId xmlns:a16="http://schemas.microsoft.com/office/drawing/2014/main" id="{C857E31D-ED5D-48A9-9C63-F5995689425C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93" name="Isosceles Triangle 1992">
          <a:extLst>
            <a:ext uri="{FF2B5EF4-FFF2-40B4-BE49-F238E27FC236}">
              <a16:creationId xmlns:a16="http://schemas.microsoft.com/office/drawing/2014/main" id="{972AD3B4-7673-4C32-BA2F-C77662DBBB6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94" name="Isosceles Triangle 1993">
          <a:extLst>
            <a:ext uri="{FF2B5EF4-FFF2-40B4-BE49-F238E27FC236}">
              <a16:creationId xmlns:a16="http://schemas.microsoft.com/office/drawing/2014/main" id="{AA97964B-8864-4119-A5FB-E18659B7E5D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95" name="Isosceles Triangle 1994">
          <a:extLst>
            <a:ext uri="{FF2B5EF4-FFF2-40B4-BE49-F238E27FC236}">
              <a16:creationId xmlns:a16="http://schemas.microsoft.com/office/drawing/2014/main" id="{564D665F-FD29-4610-ABB3-38B4EA50AFEF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96" name="Isosceles Triangle 1995">
          <a:extLst>
            <a:ext uri="{FF2B5EF4-FFF2-40B4-BE49-F238E27FC236}">
              <a16:creationId xmlns:a16="http://schemas.microsoft.com/office/drawing/2014/main" id="{33D68610-B0D0-4BFF-8753-B1CEDF926A6C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97" name="Isosceles Triangle 1996">
          <a:extLst>
            <a:ext uri="{FF2B5EF4-FFF2-40B4-BE49-F238E27FC236}">
              <a16:creationId xmlns:a16="http://schemas.microsoft.com/office/drawing/2014/main" id="{1499FA79-738D-458E-BB41-1C74E4193CC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98" name="Isosceles Triangle 1997">
          <a:extLst>
            <a:ext uri="{FF2B5EF4-FFF2-40B4-BE49-F238E27FC236}">
              <a16:creationId xmlns:a16="http://schemas.microsoft.com/office/drawing/2014/main" id="{CB56E212-0A55-48B7-9D7F-D9154BF18C1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999" name="Isosceles Triangle 1998">
          <a:extLst>
            <a:ext uri="{FF2B5EF4-FFF2-40B4-BE49-F238E27FC236}">
              <a16:creationId xmlns:a16="http://schemas.microsoft.com/office/drawing/2014/main" id="{187E98FC-488B-4396-9C3B-9A5698B880D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00" name="Isosceles Triangle 1999">
          <a:extLst>
            <a:ext uri="{FF2B5EF4-FFF2-40B4-BE49-F238E27FC236}">
              <a16:creationId xmlns:a16="http://schemas.microsoft.com/office/drawing/2014/main" id="{6D3860DF-1F47-4318-9876-EF54BB19A3FA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01" name="Isosceles Triangle 2000">
          <a:extLst>
            <a:ext uri="{FF2B5EF4-FFF2-40B4-BE49-F238E27FC236}">
              <a16:creationId xmlns:a16="http://schemas.microsoft.com/office/drawing/2014/main" id="{5D288A8A-5293-4867-9A65-D3E97DCCDE61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02" name="Isosceles Triangle 2001">
          <a:extLst>
            <a:ext uri="{FF2B5EF4-FFF2-40B4-BE49-F238E27FC236}">
              <a16:creationId xmlns:a16="http://schemas.microsoft.com/office/drawing/2014/main" id="{68DE1399-5DD3-4180-94D5-3A7CC2F0FC63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03" name="Isosceles Triangle 2002">
          <a:extLst>
            <a:ext uri="{FF2B5EF4-FFF2-40B4-BE49-F238E27FC236}">
              <a16:creationId xmlns:a16="http://schemas.microsoft.com/office/drawing/2014/main" id="{5C10399B-912A-405E-8CE2-15B4EB43678A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04" name="Isosceles Triangle 2003">
          <a:extLst>
            <a:ext uri="{FF2B5EF4-FFF2-40B4-BE49-F238E27FC236}">
              <a16:creationId xmlns:a16="http://schemas.microsoft.com/office/drawing/2014/main" id="{24474D4E-D199-46D8-AE91-429D24040ABC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05" name="Isosceles Triangle 2004">
          <a:extLst>
            <a:ext uri="{FF2B5EF4-FFF2-40B4-BE49-F238E27FC236}">
              <a16:creationId xmlns:a16="http://schemas.microsoft.com/office/drawing/2014/main" id="{6ED97895-A329-4E24-B15E-2B1C8D7E1645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06" name="Isosceles Triangle 2005">
          <a:extLst>
            <a:ext uri="{FF2B5EF4-FFF2-40B4-BE49-F238E27FC236}">
              <a16:creationId xmlns:a16="http://schemas.microsoft.com/office/drawing/2014/main" id="{11AAD6C6-279B-43AC-A05F-F356A55A08E7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07" name="Isosceles Triangle 2006">
          <a:extLst>
            <a:ext uri="{FF2B5EF4-FFF2-40B4-BE49-F238E27FC236}">
              <a16:creationId xmlns:a16="http://schemas.microsoft.com/office/drawing/2014/main" id="{CAE57329-BF1A-45CE-AAE9-0B51FB42FC1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08" name="Isosceles Triangle 2007">
          <a:extLst>
            <a:ext uri="{FF2B5EF4-FFF2-40B4-BE49-F238E27FC236}">
              <a16:creationId xmlns:a16="http://schemas.microsoft.com/office/drawing/2014/main" id="{5D8523C1-8DA9-4599-8535-6D03B37D38D7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09" name="Isosceles Triangle 2008">
          <a:extLst>
            <a:ext uri="{FF2B5EF4-FFF2-40B4-BE49-F238E27FC236}">
              <a16:creationId xmlns:a16="http://schemas.microsoft.com/office/drawing/2014/main" id="{A4526AF4-57BA-46CF-91C6-D89F478D2C0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10" name="Isosceles Triangle 2009">
          <a:extLst>
            <a:ext uri="{FF2B5EF4-FFF2-40B4-BE49-F238E27FC236}">
              <a16:creationId xmlns:a16="http://schemas.microsoft.com/office/drawing/2014/main" id="{C386A64B-DEB3-4EE9-AF39-DB76E72AF917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11" name="Isosceles Triangle 2010">
          <a:extLst>
            <a:ext uri="{FF2B5EF4-FFF2-40B4-BE49-F238E27FC236}">
              <a16:creationId xmlns:a16="http://schemas.microsoft.com/office/drawing/2014/main" id="{DEC5A7BF-05E6-4E7E-B820-F69D3641F1A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12" name="Isosceles Triangle 2011">
          <a:extLst>
            <a:ext uri="{FF2B5EF4-FFF2-40B4-BE49-F238E27FC236}">
              <a16:creationId xmlns:a16="http://schemas.microsoft.com/office/drawing/2014/main" id="{9A91E1BC-98FD-4923-A536-C6EC492A90EA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13" name="Isosceles Triangle 2012">
          <a:extLst>
            <a:ext uri="{FF2B5EF4-FFF2-40B4-BE49-F238E27FC236}">
              <a16:creationId xmlns:a16="http://schemas.microsoft.com/office/drawing/2014/main" id="{19776F3C-9BA3-450F-9A81-38E79894B1E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14" name="Isosceles Triangle 2013">
          <a:extLst>
            <a:ext uri="{FF2B5EF4-FFF2-40B4-BE49-F238E27FC236}">
              <a16:creationId xmlns:a16="http://schemas.microsoft.com/office/drawing/2014/main" id="{137EE962-1D9D-4821-8882-8CE10BED2F2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15" name="Isosceles Triangle 2014">
          <a:extLst>
            <a:ext uri="{FF2B5EF4-FFF2-40B4-BE49-F238E27FC236}">
              <a16:creationId xmlns:a16="http://schemas.microsoft.com/office/drawing/2014/main" id="{D763803A-D487-4459-B3D8-46D57D6357E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16" name="Isosceles Triangle 2015">
          <a:extLst>
            <a:ext uri="{FF2B5EF4-FFF2-40B4-BE49-F238E27FC236}">
              <a16:creationId xmlns:a16="http://schemas.microsoft.com/office/drawing/2014/main" id="{F1C42D83-3A49-4DB8-BCD8-E45E4E03C3D7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17" name="Isosceles Triangle 2016">
          <a:extLst>
            <a:ext uri="{FF2B5EF4-FFF2-40B4-BE49-F238E27FC236}">
              <a16:creationId xmlns:a16="http://schemas.microsoft.com/office/drawing/2014/main" id="{21D832A8-9516-4416-BD1E-39C1045DF185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18" name="Isosceles Triangle 2017">
          <a:extLst>
            <a:ext uri="{FF2B5EF4-FFF2-40B4-BE49-F238E27FC236}">
              <a16:creationId xmlns:a16="http://schemas.microsoft.com/office/drawing/2014/main" id="{6203E529-CF4C-4031-BCA1-F15DFC33A5A4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19" name="Isosceles Triangle 2018">
          <a:extLst>
            <a:ext uri="{FF2B5EF4-FFF2-40B4-BE49-F238E27FC236}">
              <a16:creationId xmlns:a16="http://schemas.microsoft.com/office/drawing/2014/main" id="{0DF44E15-BD6F-4B9B-8FB8-39A67935CDC7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20" name="Isosceles Triangle 2019">
          <a:extLst>
            <a:ext uri="{FF2B5EF4-FFF2-40B4-BE49-F238E27FC236}">
              <a16:creationId xmlns:a16="http://schemas.microsoft.com/office/drawing/2014/main" id="{D7D1D625-564B-4BD6-B0D1-68984A40428C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21" name="Isosceles Triangle 2020">
          <a:extLst>
            <a:ext uri="{FF2B5EF4-FFF2-40B4-BE49-F238E27FC236}">
              <a16:creationId xmlns:a16="http://schemas.microsoft.com/office/drawing/2014/main" id="{C1A317F8-B0B2-4C96-9139-84B0E76C23CA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22" name="Isosceles Triangle 2021">
          <a:extLst>
            <a:ext uri="{FF2B5EF4-FFF2-40B4-BE49-F238E27FC236}">
              <a16:creationId xmlns:a16="http://schemas.microsoft.com/office/drawing/2014/main" id="{F6A2076A-C2A1-4033-B68F-43FFC680547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23" name="Isosceles Triangle 2022">
          <a:extLst>
            <a:ext uri="{FF2B5EF4-FFF2-40B4-BE49-F238E27FC236}">
              <a16:creationId xmlns:a16="http://schemas.microsoft.com/office/drawing/2014/main" id="{7C15E6ED-EAB4-4004-9E36-177A3732816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24" name="Isosceles Triangle 2023">
          <a:extLst>
            <a:ext uri="{FF2B5EF4-FFF2-40B4-BE49-F238E27FC236}">
              <a16:creationId xmlns:a16="http://schemas.microsoft.com/office/drawing/2014/main" id="{3D7FB4E5-6E4A-4A43-8C3B-23F06B5C7F2F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25" name="Isosceles Triangle 2024">
          <a:extLst>
            <a:ext uri="{FF2B5EF4-FFF2-40B4-BE49-F238E27FC236}">
              <a16:creationId xmlns:a16="http://schemas.microsoft.com/office/drawing/2014/main" id="{E30F2186-3300-4246-A657-02266CE05CE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26" name="Isosceles Triangle 2025">
          <a:extLst>
            <a:ext uri="{FF2B5EF4-FFF2-40B4-BE49-F238E27FC236}">
              <a16:creationId xmlns:a16="http://schemas.microsoft.com/office/drawing/2014/main" id="{2C182DA8-6770-4676-A57C-B71A1E5DEFE5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27" name="Isosceles Triangle 2026">
          <a:extLst>
            <a:ext uri="{FF2B5EF4-FFF2-40B4-BE49-F238E27FC236}">
              <a16:creationId xmlns:a16="http://schemas.microsoft.com/office/drawing/2014/main" id="{42318512-A69C-4053-8650-3406C37DBA90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28" name="Isosceles Triangle 2027">
          <a:extLst>
            <a:ext uri="{FF2B5EF4-FFF2-40B4-BE49-F238E27FC236}">
              <a16:creationId xmlns:a16="http://schemas.microsoft.com/office/drawing/2014/main" id="{48B5FD63-AD75-4F21-A1F1-D92F5164BA5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29" name="Isosceles Triangle 2028">
          <a:extLst>
            <a:ext uri="{FF2B5EF4-FFF2-40B4-BE49-F238E27FC236}">
              <a16:creationId xmlns:a16="http://schemas.microsoft.com/office/drawing/2014/main" id="{E8F40DE7-32B0-4026-B5D1-9AD4318C72A1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30" name="Isosceles Triangle 2029">
          <a:extLst>
            <a:ext uri="{FF2B5EF4-FFF2-40B4-BE49-F238E27FC236}">
              <a16:creationId xmlns:a16="http://schemas.microsoft.com/office/drawing/2014/main" id="{B70E0926-B16A-4A3D-A8D6-A30A5298E32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31" name="Isosceles Triangle 2030">
          <a:extLst>
            <a:ext uri="{FF2B5EF4-FFF2-40B4-BE49-F238E27FC236}">
              <a16:creationId xmlns:a16="http://schemas.microsoft.com/office/drawing/2014/main" id="{AAF59365-B3ED-437D-B740-E961C83A9EBC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32" name="Isosceles Triangle 2031">
          <a:extLst>
            <a:ext uri="{FF2B5EF4-FFF2-40B4-BE49-F238E27FC236}">
              <a16:creationId xmlns:a16="http://schemas.microsoft.com/office/drawing/2014/main" id="{DBD0E9E6-FD60-47AF-A95C-0E02496DC925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33" name="Isosceles Triangle 2032">
          <a:extLst>
            <a:ext uri="{FF2B5EF4-FFF2-40B4-BE49-F238E27FC236}">
              <a16:creationId xmlns:a16="http://schemas.microsoft.com/office/drawing/2014/main" id="{D63957DD-EA9D-4480-8C64-6FE5062E569A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34" name="Isosceles Triangle 2033">
          <a:extLst>
            <a:ext uri="{FF2B5EF4-FFF2-40B4-BE49-F238E27FC236}">
              <a16:creationId xmlns:a16="http://schemas.microsoft.com/office/drawing/2014/main" id="{93913CE3-2F64-4B6D-B7AE-8523E1645377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35" name="Isosceles Triangle 2034">
          <a:extLst>
            <a:ext uri="{FF2B5EF4-FFF2-40B4-BE49-F238E27FC236}">
              <a16:creationId xmlns:a16="http://schemas.microsoft.com/office/drawing/2014/main" id="{D4141E54-FB76-4F9C-9830-B8101FDE0AE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36" name="Isosceles Triangle 2035">
          <a:extLst>
            <a:ext uri="{FF2B5EF4-FFF2-40B4-BE49-F238E27FC236}">
              <a16:creationId xmlns:a16="http://schemas.microsoft.com/office/drawing/2014/main" id="{8879AB44-C488-4703-A6AC-84F8096DEED7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37" name="Isosceles Triangle 2036">
          <a:extLst>
            <a:ext uri="{FF2B5EF4-FFF2-40B4-BE49-F238E27FC236}">
              <a16:creationId xmlns:a16="http://schemas.microsoft.com/office/drawing/2014/main" id="{E18F96F1-839B-4BDD-9308-0FBC0374C76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38" name="Isosceles Triangle 2037">
          <a:extLst>
            <a:ext uri="{FF2B5EF4-FFF2-40B4-BE49-F238E27FC236}">
              <a16:creationId xmlns:a16="http://schemas.microsoft.com/office/drawing/2014/main" id="{9FD3F31A-85F9-4826-A5C3-0AA97F308B83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39" name="Isosceles Triangle 2038">
          <a:extLst>
            <a:ext uri="{FF2B5EF4-FFF2-40B4-BE49-F238E27FC236}">
              <a16:creationId xmlns:a16="http://schemas.microsoft.com/office/drawing/2014/main" id="{E3774F69-8695-4345-8A06-481EB9926B70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40" name="Isosceles Triangle 2039">
          <a:extLst>
            <a:ext uri="{FF2B5EF4-FFF2-40B4-BE49-F238E27FC236}">
              <a16:creationId xmlns:a16="http://schemas.microsoft.com/office/drawing/2014/main" id="{F9673A98-A9A2-4A4E-BD64-9574DD5B3671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41" name="Isosceles Triangle 2040">
          <a:extLst>
            <a:ext uri="{FF2B5EF4-FFF2-40B4-BE49-F238E27FC236}">
              <a16:creationId xmlns:a16="http://schemas.microsoft.com/office/drawing/2014/main" id="{DE94CACB-7C02-42E2-863F-1E576D7E194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42" name="Isosceles Triangle 2041">
          <a:extLst>
            <a:ext uri="{FF2B5EF4-FFF2-40B4-BE49-F238E27FC236}">
              <a16:creationId xmlns:a16="http://schemas.microsoft.com/office/drawing/2014/main" id="{30700CBE-BC5D-4D0C-B7BD-FC6FCE7563B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43" name="Isosceles Triangle 2042">
          <a:extLst>
            <a:ext uri="{FF2B5EF4-FFF2-40B4-BE49-F238E27FC236}">
              <a16:creationId xmlns:a16="http://schemas.microsoft.com/office/drawing/2014/main" id="{3E40FD34-3DF0-4E68-B739-8B4F6B6636F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44" name="Isosceles Triangle 2043">
          <a:extLst>
            <a:ext uri="{FF2B5EF4-FFF2-40B4-BE49-F238E27FC236}">
              <a16:creationId xmlns:a16="http://schemas.microsoft.com/office/drawing/2014/main" id="{FE413FFF-04B9-4A35-98A8-B1FE315F4D01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45" name="Isosceles Triangle 2044">
          <a:extLst>
            <a:ext uri="{FF2B5EF4-FFF2-40B4-BE49-F238E27FC236}">
              <a16:creationId xmlns:a16="http://schemas.microsoft.com/office/drawing/2014/main" id="{85A03420-09A9-4600-9441-DABE7F60D7F4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46" name="Isosceles Triangle 2045">
          <a:extLst>
            <a:ext uri="{FF2B5EF4-FFF2-40B4-BE49-F238E27FC236}">
              <a16:creationId xmlns:a16="http://schemas.microsoft.com/office/drawing/2014/main" id="{1074CEF8-7B7F-45B8-A35F-DEEDC661EC9F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47" name="Isosceles Triangle 2046">
          <a:extLst>
            <a:ext uri="{FF2B5EF4-FFF2-40B4-BE49-F238E27FC236}">
              <a16:creationId xmlns:a16="http://schemas.microsoft.com/office/drawing/2014/main" id="{2E199F5F-D14C-4270-8145-2F9F12BD92D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48" name="Isosceles Triangle 2047">
          <a:extLst>
            <a:ext uri="{FF2B5EF4-FFF2-40B4-BE49-F238E27FC236}">
              <a16:creationId xmlns:a16="http://schemas.microsoft.com/office/drawing/2014/main" id="{6FE6CA70-2771-4F00-97B4-4992512877C3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49" name="Isosceles Triangle 2048">
          <a:extLst>
            <a:ext uri="{FF2B5EF4-FFF2-40B4-BE49-F238E27FC236}">
              <a16:creationId xmlns:a16="http://schemas.microsoft.com/office/drawing/2014/main" id="{2CD5793F-EC0E-4132-9EE3-BE35C38017A9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50" name="Isosceles Triangle 2049">
          <a:extLst>
            <a:ext uri="{FF2B5EF4-FFF2-40B4-BE49-F238E27FC236}">
              <a16:creationId xmlns:a16="http://schemas.microsoft.com/office/drawing/2014/main" id="{3A370F50-CBF0-4404-85B9-74C96044F5DE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51" name="Isosceles Triangle 2050">
          <a:extLst>
            <a:ext uri="{FF2B5EF4-FFF2-40B4-BE49-F238E27FC236}">
              <a16:creationId xmlns:a16="http://schemas.microsoft.com/office/drawing/2014/main" id="{6AA5A655-D754-451D-8371-33CC79A24AA3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52" name="Isosceles Triangle 2051">
          <a:extLst>
            <a:ext uri="{FF2B5EF4-FFF2-40B4-BE49-F238E27FC236}">
              <a16:creationId xmlns:a16="http://schemas.microsoft.com/office/drawing/2014/main" id="{C4210C16-DC90-477F-B26D-0237B0656D2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53" name="Isosceles Triangle 2052">
          <a:extLst>
            <a:ext uri="{FF2B5EF4-FFF2-40B4-BE49-F238E27FC236}">
              <a16:creationId xmlns:a16="http://schemas.microsoft.com/office/drawing/2014/main" id="{8F6D9F08-0895-4EC2-82B7-4B020A7A398F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54" name="Isosceles Triangle 2053">
          <a:extLst>
            <a:ext uri="{FF2B5EF4-FFF2-40B4-BE49-F238E27FC236}">
              <a16:creationId xmlns:a16="http://schemas.microsoft.com/office/drawing/2014/main" id="{1550AF9D-3C46-41D5-AAFE-36354B720E88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55" name="Isosceles Triangle 2054">
          <a:extLst>
            <a:ext uri="{FF2B5EF4-FFF2-40B4-BE49-F238E27FC236}">
              <a16:creationId xmlns:a16="http://schemas.microsoft.com/office/drawing/2014/main" id="{20F3E0CA-4AC1-4192-9FD6-6BD96F0B64A5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56" name="Isosceles Triangle 2055">
          <a:extLst>
            <a:ext uri="{FF2B5EF4-FFF2-40B4-BE49-F238E27FC236}">
              <a16:creationId xmlns:a16="http://schemas.microsoft.com/office/drawing/2014/main" id="{52E49CD4-3A44-4804-BE38-8857516A295D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57" name="Isosceles Triangle 2056">
          <a:extLst>
            <a:ext uri="{FF2B5EF4-FFF2-40B4-BE49-F238E27FC236}">
              <a16:creationId xmlns:a16="http://schemas.microsoft.com/office/drawing/2014/main" id="{2F300FF0-5F4E-4FDA-832E-25583DDCFEFC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58" name="Isosceles Triangle 2057">
          <a:extLst>
            <a:ext uri="{FF2B5EF4-FFF2-40B4-BE49-F238E27FC236}">
              <a16:creationId xmlns:a16="http://schemas.microsoft.com/office/drawing/2014/main" id="{2D5562F7-D7D9-4737-87C0-ACA4B7BCD69B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59" name="Isosceles Triangle 2058">
          <a:extLst>
            <a:ext uri="{FF2B5EF4-FFF2-40B4-BE49-F238E27FC236}">
              <a16:creationId xmlns:a16="http://schemas.microsoft.com/office/drawing/2014/main" id="{FA082664-F4EA-4438-81E1-98D1492FAF19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60" name="Isosceles Triangle 2059">
          <a:extLst>
            <a:ext uri="{FF2B5EF4-FFF2-40B4-BE49-F238E27FC236}">
              <a16:creationId xmlns:a16="http://schemas.microsoft.com/office/drawing/2014/main" id="{7202CAA0-65AF-4D0C-91DD-01FBDB937AD0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61" name="Isosceles Triangle 2060">
          <a:extLst>
            <a:ext uri="{FF2B5EF4-FFF2-40B4-BE49-F238E27FC236}">
              <a16:creationId xmlns:a16="http://schemas.microsoft.com/office/drawing/2014/main" id="{C887C33D-8E37-442A-9D3E-F9A162A5155A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62" name="Isosceles Triangle 2061">
          <a:extLst>
            <a:ext uri="{FF2B5EF4-FFF2-40B4-BE49-F238E27FC236}">
              <a16:creationId xmlns:a16="http://schemas.microsoft.com/office/drawing/2014/main" id="{A720C65C-FB8E-47C0-9952-0E2FFABB4225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63" name="Isosceles Triangle 2062">
          <a:extLst>
            <a:ext uri="{FF2B5EF4-FFF2-40B4-BE49-F238E27FC236}">
              <a16:creationId xmlns:a16="http://schemas.microsoft.com/office/drawing/2014/main" id="{3CAFB4D2-E547-42F6-B009-C175A0D44054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64" name="Isosceles Triangle 2063">
          <a:extLst>
            <a:ext uri="{FF2B5EF4-FFF2-40B4-BE49-F238E27FC236}">
              <a16:creationId xmlns:a16="http://schemas.microsoft.com/office/drawing/2014/main" id="{E39C90C0-B39B-4ECA-B479-4729CA43DAC6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65" name="Isosceles Triangle 2064">
          <a:extLst>
            <a:ext uri="{FF2B5EF4-FFF2-40B4-BE49-F238E27FC236}">
              <a16:creationId xmlns:a16="http://schemas.microsoft.com/office/drawing/2014/main" id="{E534F95A-6614-40EE-82F4-89EB57F18EE2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66" name="Isosceles Triangle 2065">
          <a:extLst>
            <a:ext uri="{FF2B5EF4-FFF2-40B4-BE49-F238E27FC236}">
              <a16:creationId xmlns:a16="http://schemas.microsoft.com/office/drawing/2014/main" id="{114CDC15-6912-4E65-992F-3FA80344FA80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67" name="Isosceles Triangle 2066">
          <a:extLst>
            <a:ext uri="{FF2B5EF4-FFF2-40B4-BE49-F238E27FC236}">
              <a16:creationId xmlns:a16="http://schemas.microsoft.com/office/drawing/2014/main" id="{EB952732-0A4E-4954-94A4-197930FCEAF0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68" name="Isosceles Triangle 2067">
          <a:extLst>
            <a:ext uri="{FF2B5EF4-FFF2-40B4-BE49-F238E27FC236}">
              <a16:creationId xmlns:a16="http://schemas.microsoft.com/office/drawing/2014/main" id="{06433700-1207-40E5-B17B-A3EE2AB4FB43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069" name="Isosceles Triangle 2068">
          <a:extLst>
            <a:ext uri="{FF2B5EF4-FFF2-40B4-BE49-F238E27FC236}">
              <a16:creationId xmlns:a16="http://schemas.microsoft.com/office/drawing/2014/main" id="{E84B88FD-4DFB-4252-993A-5EF04E6CE92C}"/>
            </a:ext>
          </a:extLst>
        </xdr:cNvPr>
        <xdr:cNvSpPr/>
      </xdr:nvSpPr>
      <xdr:spPr>
        <a:xfrm rot="10800000">
          <a:off x="14088917" y="5785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70" name="Isosceles Triangle 2069">
          <a:extLst>
            <a:ext uri="{FF2B5EF4-FFF2-40B4-BE49-F238E27FC236}">
              <a16:creationId xmlns:a16="http://schemas.microsoft.com/office/drawing/2014/main" id="{4E79E136-224D-47CA-A39A-074E34AFDA6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71" name="Isosceles Triangle 2070">
          <a:extLst>
            <a:ext uri="{FF2B5EF4-FFF2-40B4-BE49-F238E27FC236}">
              <a16:creationId xmlns:a16="http://schemas.microsoft.com/office/drawing/2014/main" id="{00BEBCA2-5DD6-40A3-8F04-FD3A72CC669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72" name="Isosceles Triangle 2071">
          <a:extLst>
            <a:ext uri="{FF2B5EF4-FFF2-40B4-BE49-F238E27FC236}">
              <a16:creationId xmlns:a16="http://schemas.microsoft.com/office/drawing/2014/main" id="{E003F044-2389-4226-8CE4-FA3BB42FBD7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73" name="Isosceles Triangle 2072">
          <a:extLst>
            <a:ext uri="{FF2B5EF4-FFF2-40B4-BE49-F238E27FC236}">
              <a16:creationId xmlns:a16="http://schemas.microsoft.com/office/drawing/2014/main" id="{0EAB3A71-C934-4D8C-AF73-CAD6597D463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74" name="Isosceles Triangle 2073">
          <a:extLst>
            <a:ext uri="{FF2B5EF4-FFF2-40B4-BE49-F238E27FC236}">
              <a16:creationId xmlns:a16="http://schemas.microsoft.com/office/drawing/2014/main" id="{06D2D895-2545-47EC-B6E7-9EA9530CF98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75" name="Isosceles Triangle 2074">
          <a:extLst>
            <a:ext uri="{FF2B5EF4-FFF2-40B4-BE49-F238E27FC236}">
              <a16:creationId xmlns:a16="http://schemas.microsoft.com/office/drawing/2014/main" id="{FE798861-3C43-4643-A4C7-8627A11848F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76" name="Isosceles Triangle 2075">
          <a:extLst>
            <a:ext uri="{FF2B5EF4-FFF2-40B4-BE49-F238E27FC236}">
              <a16:creationId xmlns:a16="http://schemas.microsoft.com/office/drawing/2014/main" id="{F903B287-11BE-4644-B0CB-35565E11BAE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77" name="Isosceles Triangle 2076">
          <a:extLst>
            <a:ext uri="{FF2B5EF4-FFF2-40B4-BE49-F238E27FC236}">
              <a16:creationId xmlns:a16="http://schemas.microsoft.com/office/drawing/2014/main" id="{5FE1E835-3DF9-47F3-8E62-D9FE82ECA4B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78" name="Isosceles Triangle 2077">
          <a:extLst>
            <a:ext uri="{FF2B5EF4-FFF2-40B4-BE49-F238E27FC236}">
              <a16:creationId xmlns:a16="http://schemas.microsoft.com/office/drawing/2014/main" id="{649C815E-12BE-4C6D-9E0B-356A1959409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79" name="Isosceles Triangle 2078">
          <a:extLst>
            <a:ext uri="{FF2B5EF4-FFF2-40B4-BE49-F238E27FC236}">
              <a16:creationId xmlns:a16="http://schemas.microsoft.com/office/drawing/2014/main" id="{65B387AA-B935-4653-8315-59E4AE246B1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80" name="Isosceles Triangle 2079">
          <a:extLst>
            <a:ext uri="{FF2B5EF4-FFF2-40B4-BE49-F238E27FC236}">
              <a16:creationId xmlns:a16="http://schemas.microsoft.com/office/drawing/2014/main" id="{DA6F6688-4F2F-4B1E-92E9-7F698960A74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81" name="Isosceles Triangle 2080">
          <a:extLst>
            <a:ext uri="{FF2B5EF4-FFF2-40B4-BE49-F238E27FC236}">
              <a16:creationId xmlns:a16="http://schemas.microsoft.com/office/drawing/2014/main" id="{B5B334DF-0292-4A06-B1F9-A7E95ADE252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82" name="Isosceles Triangle 2081">
          <a:extLst>
            <a:ext uri="{FF2B5EF4-FFF2-40B4-BE49-F238E27FC236}">
              <a16:creationId xmlns:a16="http://schemas.microsoft.com/office/drawing/2014/main" id="{D839995D-A7C9-4D9A-B63B-E7BD4C87302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83" name="Isosceles Triangle 2082">
          <a:extLst>
            <a:ext uri="{FF2B5EF4-FFF2-40B4-BE49-F238E27FC236}">
              <a16:creationId xmlns:a16="http://schemas.microsoft.com/office/drawing/2014/main" id="{7C69F8D9-6B01-4D00-BBBE-0DB095E4DF1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84" name="Isosceles Triangle 2083">
          <a:extLst>
            <a:ext uri="{FF2B5EF4-FFF2-40B4-BE49-F238E27FC236}">
              <a16:creationId xmlns:a16="http://schemas.microsoft.com/office/drawing/2014/main" id="{0D812ED9-469C-4D75-9879-011AEDFAE32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85" name="Isosceles Triangle 2084">
          <a:extLst>
            <a:ext uri="{FF2B5EF4-FFF2-40B4-BE49-F238E27FC236}">
              <a16:creationId xmlns:a16="http://schemas.microsoft.com/office/drawing/2014/main" id="{2D47B9AA-6F44-4C00-8F59-17507BD08F9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86" name="Isosceles Triangle 2085">
          <a:extLst>
            <a:ext uri="{FF2B5EF4-FFF2-40B4-BE49-F238E27FC236}">
              <a16:creationId xmlns:a16="http://schemas.microsoft.com/office/drawing/2014/main" id="{5404E623-315A-4B5B-8FA7-B1E21A75C16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87" name="Isosceles Triangle 2086">
          <a:extLst>
            <a:ext uri="{FF2B5EF4-FFF2-40B4-BE49-F238E27FC236}">
              <a16:creationId xmlns:a16="http://schemas.microsoft.com/office/drawing/2014/main" id="{95DA7432-40D4-4B8D-AD63-22F688DBE08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88" name="Isosceles Triangle 2087">
          <a:extLst>
            <a:ext uri="{FF2B5EF4-FFF2-40B4-BE49-F238E27FC236}">
              <a16:creationId xmlns:a16="http://schemas.microsoft.com/office/drawing/2014/main" id="{1A13DA30-3B3E-45B2-85CD-55ECD7E3C9B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89" name="Isosceles Triangle 2088">
          <a:extLst>
            <a:ext uri="{FF2B5EF4-FFF2-40B4-BE49-F238E27FC236}">
              <a16:creationId xmlns:a16="http://schemas.microsoft.com/office/drawing/2014/main" id="{8C958E61-9549-494C-9AAF-0EA3F5BC673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90" name="Isosceles Triangle 2089">
          <a:extLst>
            <a:ext uri="{FF2B5EF4-FFF2-40B4-BE49-F238E27FC236}">
              <a16:creationId xmlns:a16="http://schemas.microsoft.com/office/drawing/2014/main" id="{65B45FA1-3069-4260-B797-00FCE173142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91" name="Isosceles Triangle 2090">
          <a:extLst>
            <a:ext uri="{FF2B5EF4-FFF2-40B4-BE49-F238E27FC236}">
              <a16:creationId xmlns:a16="http://schemas.microsoft.com/office/drawing/2014/main" id="{F276E721-5238-4365-9A6E-33DE40CDD5C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92" name="Isosceles Triangle 2091">
          <a:extLst>
            <a:ext uri="{FF2B5EF4-FFF2-40B4-BE49-F238E27FC236}">
              <a16:creationId xmlns:a16="http://schemas.microsoft.com/office/drawing/2014/main" id="{20C41980-2A89-46A6-AEF5-2AD8828D7B3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93" name="Isosceles Triangle 2092">
          <a:extLst>
            <a:ext uri="{FF2B5EF4-FFF2-40B4-BE49-F238E27FC236}">
              <a16:creationId xmlns:a16="http://schemas.microsoft.com/office/drawing/2014/main" id="{C6E1BF8D-8129-4DAA-B5D7-F20A622B780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94" name="Isosceles Triangle 2093">
          <a:extLst>
            <a:ext uri="{FF2B5EF4-FFF2-40B4-BE49-F238E27FC236}">
              <a16:creationId xmlns:a16="http://schemas.microsoft.com/office/drawing/2014/main" id="{48284656-5E2D-4F26-B1DA-77986A1C37B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095" name="Isosceles Triangle 2094">
          <a:extLst>
            <a:ext uri="{FF2B5EF4-FFF2-40B4-BE49-F238E27FC236}">
              <a16:creationId xmlns:a16="http://schemas.microsoft.com/office/drawing/2014/main" id="{D1AF7BC3-8F47-4B40-9706-770CC2FDFFB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096" name="Isosceles Triangle 2095">
          <a:extLst>
            <a:ext uri="{FF2B5EF4-FFF2-40B4-BE49-F238E27FC236}">
              <a16:creationId xmlns:a16="http://schemas.microsoft.com/office/drawing/2014/main" id="{52AC36DD-772D-4ECF-9C6B-BF7516A566D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097" name="Isosceles Triangle 2096">
          <a:extLst>
            <a:ext uri="{FF2B5EF4-FFF2-40B4-BE49-F238E27FC236}">
              <a16:creationId xmlns:a16="http://schemas.microsoft.com/office/drawing/2014/main" id="{E4F14CD5-5D41-4EB8-9C61-8EECBDF9616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098" name="Isosceles Triangle 2097">
          <a:extLst>
            <a:ext uri="{FF2B5EF4-FFF2-40B4-BE49-F238E27FC236}">
              <a16:creationId xmlns:a16="http://schemas.microsoft.com/office/drawing/2014/main" id="{3FACBDB5-DF22-4E47-87AE-23E8817CDB5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099" name="Isosceles Triangle 2098">
          <a:extLst>
            <a:ext uri="{FF2B5EF4-FFF2-40B4-BE49-F238E27FC236}">
              <a16:creationId xmlns:a16="http://schemas.microsoft.com/office/drawing/2014/main" id="{EB2CC792-A4A0-4312-8C21-CAA57E12FBE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00" name="Isosceles Triangle 2099">
          <a:extLst>
            <a:ext uri="{FF2B5EF4-FFF2-40B4-BE49-F238E27FC236}">
              <a16:creationId xmlns:a16="http://schemas.microsoft.com/office/drawing/2014/main" id="{1C0AAEFF-2E91-490A-BA6F-D1136EEBE6D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01" name="Isosceles Triangle 2100">
          <a:extLst>
            <a:ext uri="{FF2B5EF4-FFF2-40B4-BE49-F238E27FC236}">
              <a16:creationId xmlns:a16="http://schemas.microsoft.com/office/drawing/2014/main" id="{FE2BA581-AA81-4419-89C2-22D22B8B919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02" name="Isosceles Triangle 2101">
          <a:extLst>
            <a:ext uri="{FF2B5EF4-FFF2-40B4-BE49-F238E27FC236}">
              <a16:creationId xmlns:a16="http://schemas.microsoft.com/office/drawing/2014/main" id="{319B4ED2-4DC0-437B-A627-410C00D1AAF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03" name="Isosceles Triangle 2102">
          <a:extLst>
            <a:ext uri="{FF2B5EF4-FFF2-40B4-BE49-F238E27FC236}">
              <a16:creationId xmlns:a16="http://schemas.microsoft.com/office/drawing/2014/main" id="{E236B33F-D4AE-4488-8374-9AF838B4E03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04" name="Isosceles Triangle 2103">
          <a:extLst>
            <a:ext uri="{FF2B5EF4-FFF2-40B4-BE49-F238E27FC236}">
              <a16:creationId xmlns:a16="http://schemas.microsoft.com/office/drawing/2014/main" id="{B72B571A-C414-413D-A06B-6157C647739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05" name="Isosceles Triangle 2104">
          <a:extLst>
            <a:ext uri="{FF2B5EF4-FFF2-40B4-BE49-F238E27FC236}">
              <a16:creationId xmlns:a16="http://schemas.microsoft.com/office/drawing/2014/main" id="{A3DD1CC4-1364-4A54-8834-36A84E6F744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06" name="Isosceles Triangle 2105">
          <a:extLst>
            <a:ext uri="{FF2B5EF4-FFF2-40B4-BE49-F238E27FC236}">
              <a16:creationId xmlns:a16="http://schemas.microsoft.com/office/drawing/2014/main" id="{5BB6DD1E-4568-45C9-9726-875526668CE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07" name="Isosceles Triangle 2106">
          <a:extLst>
            <a:ext uri="{FF2B5EF4-FFF2-40B4-BE49-F238E27FC236}">
              <a16:creationId xmlns:a16="http://schemas.microsoft.com/office/drawing/2014/main" id="{F6769FAA-FAEB-4984-BB89-BCC6EFC1EA8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08" name="Isosceles Triangle 2107">
          <a:extLst>
            <a:ext uri="{FF2B5EF4-FFF2-40B4-BE49-F238E27FC236}">
              <a16:creationId xmlns:a16="http://schemas.microsoft.com/office/drawing/2014/main" id="{1AA56141-C3CC-4AC0-9A10-B8E1864C1DC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09" name="Isosceles Triangle 2108">
          <a:extLst>
            <a:ext uri="{FF2B5EF4-FFF2-40B4-BE49-F238E27FC236}">
              <a16:creationId xmlns:a16="http://schemas.microsoft.com/office/drawing/2014/main" id="{1B4892D8-85A1-47A7-BCD9-F90D7470725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10" name="Isosceles Triangle 2109">
          <a:extLst>
            <a:ext uri="{FF2B5EF4-FFF2-40B4-BE49-F238E27FC236}">
              <a16:creationId xmlns:a16="http://schemas.microsoft.com/office/drawing/2014/main" id="{6B866D8B-2C08-4FC7-BA82-516BA917B77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11" name="Isosceles Triangle 2110">
          <a:extLst>
            <a:ext uri="{FF2B5EF4-FFF2-40B4-BE49-F238E27FC236}">
              <a16:creationId xmlns:a16="http://schemas.microsoft.com/office/drawing/2014/main" id="{EDD204C9-94A2-4B31-8EC7-9EE1A08199E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12" name="Isosceles Triangle 2111">
          <a:extLst>
            <a:ext uri="{FF2B5EF4-FFF2-40B4-BE49-F238E27FC236}">
              <a16:creationId xmlns:a16="http://schemas.microsoft.com/office/drawing/2014/main" id="{C806F6A9-CA8B-49F0-9189-2F7BEE035D3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13" name="Isosceles Triangle 2112">
          <a:extLst>
            <a:ext uri="{FF2B5EF4-FFF2-40B4-BE49-F238E27FC236}">
              <a16:creationId xmlns:a16="http://schemas.microsoft.com/office/drawing/2014/main" id="{871FD984-D231-4624-B470-369F2A17F38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14" name="Isosceles Triangle 2113">
          <a:extLst>
            <a:ext uri="{FF2B5EF4-FFF2-40B4-BE49-F238E27FC236}">
              <a16:creationId xmlns:a16="http://schemas.microsoft.com/office/drawing/2014/main" id="{FCC8E5EF-9873-4E63-A58D-7772831EF85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15" name="Isosceles Triangle 2114">
          <a:extLst>
            <a:ext uri="{FF2B5EF4-FFF2-40B4-BE49-F238E27FC236}">
              <a16:creationId xmlns:a16="http://schemas.microsoft.com/office/drawing/2014/main" id="{A46EBC4D-6262-46A6-85F9-F6939617155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16" name="Isosceles Triangle 2115">
          <a:extLst>
            <a:ext uri="{FF2B5EF4-FFF2-40B4-BE49-F238E27FC236}">
              <a16:creationId xmlns:a16="http://schemas.microsoft.com/office/drawing/2014/main" id="{9347D481-0437-4F10-82CE-31F8A57237E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17" name="Isosceles Triangle 2116">
          <a:extLst>
            <a:ext uri="{FF2B5EF4-FFF2-40B4-BE49-F238E27FC236}">
              <a16:creationId xmlns:a16="http://schemas.microsoft.com/office/drawing/2014/main" id="{90E91D40-ECEF-4605-94A7-A3665C7F228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18" name="Isosceles Triangle 2117">
          <a:extLst>
            <a:ext uri="{FF2B5EF4-FFF2-40B4-BE49-F238E27FC236}">
              <a16:creationId xmlns:a16="http://schemas.microsoft.com/office/drawing/2014/main" id="{C8B5FFEA-99BF-4EFF-9221-40374AA141F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19" name="Isosceles Triangle 2118">
          <a:extLst>
            <a:ext uri="{FF2B5EF4-FFF2-40B4-BE49-F238E27FC236}">
              <a16:creationId xmlns:a16="http://schemas.microsoft.com/office/drawing/2014/main" id="{F7FCD788-9FB0-456A-B7E1-FF174744141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20" name="Isosceles Triangle 2119">
          <a:extLst>
            <a:ext uri="{FF2B5EF4-FFF2-40B4-BE49-F238E27FC236}">
              <a16:creationId xmlns:a16="http://schemas.microsoft.com/office/drawing/2014/main" id="{35F06EA0-9081-43C5-AF2D-7C59D8633FB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21" name="Isosceles Triangle 2120">
          <a:extLst>
            <a:ext uri="{FF2B5EF4-FFF2-40B4-BE49-F238E27FC236}">
              <a16:creationId xmlns:a16="http://schemas.microsoft.com/office/drawing/2014/main" id="{148BC24F-65E8-40BE-9A11-0004C271079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22" name="Isosceles Triangle 2121">
          <a:extLst>
            <a:ext uri="{FF2B5EF4-FFF2-40B4-BE49-F238E27FC236}">
              <a16:creationId xmlns:a16="http://schemas.microsoft.com/office/drawing/2014/main" id="{8DD58DFE-2B8A-4BA0-8620-9238FBA8EFC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23" name="Isosceles Triangle 2122">
          <a:extLst>
            <a:ext uri="{FF2B5EF4-FFF2-40B4-BE49-F238E27FC236}">
              <a16:creationId xmlns:a16="http://schemas.microsoft.com/office/drawing/2014/main" id="{71796D3D-955D-4373-A3EA-079CF99EEC5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24" name="Isosceles Triangle 2123">
          <a:extLst>
            <a:ext uri="{FF2B5EF4-FFF2-40B4-BE49-F238E27FC236}">
              <a16:creationId xmlns:a16="http://schemas.microsoft.com/office/drawing/2014/main" id="{1D58B614-C9DC-40C0-AA5E-38B45EB8A4B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25" name="Isosceles Triangle 2124">
          <a:extLst>
            <a:ext uri="{FF2B5EF4-FFF2-40B4-BE49-F238E27FC236}">
              <a16:creationId xmlns:a16="http://schemas.microsoft.com/office/drawing/2014/main" id="{D2A0F982-5500-4F4D-9876-E11C82412E5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26" name="Isosceles Triangle 2125">
          <a:extLst>
            <a:ext uri="{FF2B5EF4-FFF2-40B4-BE49-F238E27FC236}">
              <a16:creationId xmlns:a16="http://schemas.microsoft.com/office/drawing/2014/main" id="{5E2E4A4A-0B7B-4819-A0DF-78599017614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27" name="Isosceles Triangle 2126">
          <a:extLst>
            <a:ext uri="{FF2B5EF4-FFF2-40B4-BE49-F238E27FC236}">
              <a16:creationId xmlns:a16="http://schemas.microsoft.com/office/drawing/2014/main" id="{4CE9C952-8726-48E6-9605-2AEE1D7C576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28" name="Isosceles Triangle 2127">
          <a:extLst>
            <a:ext uri="{FF2B5EF4-FFF2-40B4-BE49-F238E27FC236}">
              <a16:creationId xmlns:a16="http://schemas.microsoft.com/office/drawing/2014/main" id="{DED7E2BA-6E5F-43E0-8F5D-4588B984C3A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29" name="Isosceles Triangle 2128">
          <a:extLst>
            <a:ext uri="{FF2B5EF4-FFF2-40B4-BE49-F238E27FC236}">
              <a16:creationId xmlns:a16="http://schemas.microsoft.com/office/drawing/2014/main" id="{C679ABFC-AD48-4DBB-8424-C50DD815A87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30" name="Isosceles Triangle 2129">
          <a:extLst>
            <a:ext uri="{FF2B5EF4-FFF2-40B4-BE49-F238E27FC236}">
              <a16:creationId xmlns:a16="http://schemas.microsoft.com/office/drawing/2014/main" id="{761A1067-B298-4F28-813D-34002ED4CDD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31" name="Isosceles Triangle 2130">
          <a:extLst>
            <a:ext uri="{FF2B5EF4-FFF2-40B4-BE49-F238E27FC236}">
              <a16:creationId xmlns:a16="http://schemas.microsoft.com/office/drawing/2014/main" id="{DEA64C51-A5B9-410E-A6D0-77A7FCF01C7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32" name="Isosceles Triangle 2131">
          <a:extLst>
            <a:ext uri="{FF2B5EF4-FFF2-40B4-BE49-F238E27FC236}">
              <a16:creationId xmlns:a16="http://schemas.microsoft.com/office/drawing/2014/main" id="{F46C8E69-8711-43DB-826B-0EB2CF0D15F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33" name="Isosceles Triangle 2132">
          <a:extLst>
            <a:ext uri="{FF2B5EF4-FFF2-40B4-BE49-F238E27FC236}">
              <a16:creationId xmlns:a16="http://schemas.microsoft.com/office/drawing/2014/main" id="{DC09E6F8-8484-4FD9-8841-A9006AFDF1D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34" name="Isosceles Triangle 2133">
          <a:extLst>
            <a:ext uri="{FF2B5EF4-FFF2-40B4-BE49-F238E27FC236}">
              <a16:creationId xmlns:a16="http://schemas.microsoft.com/office/drawing/2014/main" id="{A6A35EEB-3E09-4239-AFAC-A5246E94F90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35" name="Isosceles Triangle 2134">
          <a:extLst>
            <a:ext uri="{FF2B5EF4-FFF2-40B4-BE49-F238E27FC236}">
              <a16:creationId xmlns:a16="http://schemas.microsoft.com/office/drawing/2014/main" id="{05DAFBE3-4228-484E-AAF0-6314E42C141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36" name="Isosceles Triangle 2135">
          <a:extLst>
            <a:ext uri="{FF2B5EF4-FFF2-40B4-BE49-F238E27FC236}">
              <a16:creationId xmlns:a16="http://schemas.microsoft.com/office/drawing/2014/main" id="{BD482BE3-3F54-45AC-A6F9-857A7AD824B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37" name="Isosceles Triangle 2136">
          <a:extLst>
            <a:ext uri="{FF2B5EF4-FFF2-40B4-BE49-F238E27FC236}">
              <a16:creationId xmlns:a16="http://schemas.microsoft.com/office/drawing/2014/main" id="{A300648F-FA45-4511-A62F-7C2CA5F565D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38" name="Isosceles Triangle 2137">
          <a:extLst>
            <a:ext uri="{FF2B5EF4-FFF2-40B4-BE49-F238E27FC236}">
              <a16:creationId xmlns:a16="http://schemas.microsoft.com/office/drawing/2014/main" id="{0A6F7FB4-F651-4DF6-BA1D-276B7DA339C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39" name="Isosceles Triangle 2138">
          <a:extLst>
            <a:ext uri="{FF2B5EF4-FFF2-40B4-BE49-F238E27FC236}">
              <a16:creationId xmlns:a16="http://schemas.microsoft.com/office/drawing/2014/main" id="{9DD944AB-4630-48BD-83D9-74AAD7951DF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40" name="Isosceles Triangle 2139">
          <a:extLst>
            <a:ext uri="{FF2B5EF4-FFF2-40B4-BE49-F238E27FC236}">
              <a16:creationId xmlns:a16="http://schemas.microsoft.com/office/drawing/2014/main" id="{4A652988-A96C-495F-A8FE-E4DF207FAC9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41" name="Isosceles Triangle 2140">
          <a:extLst>
            <a:ext uri="{FF2B5EF4-FFF2-40B4-BE49-F238E27FC236}">
              <a16:creationId xmlns:a16="http://schemas.microsoft.com/office/drawing/2014/main" id="{EA0007E6-4131-4D6C-8419-2A36DBACDE5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42" name="Isosceles Triangle 2141">
          <a:extLst>
            <a:ext uri="{FF2B5EF4-FFF2-40B4-BE49-F238E27FC236}">
              <a16:creationId xmlns:a16="http://schemas.microsoft.com/office/drawing/2014/main" id="{21EBCF19-E088-4B77-8CE3-DC8A6C6BFAE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43" name="Isosceles Triangle 2142">
          <a:extLst>
            <a:ext uri="{FF2B5EF4-FFF2-40B4-BE49-F238E27FC236}">
              <a16:creationId xmlns:a16="http://schemas.microsoft.com/office/drawing/2014/main" id="{D75B0A4B-4500-4DF9-89D4-E8EC5662E8C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44" name="Isosceles Triangle 2143">
          <a:extLst>
            <a:ext uri="{FF2B5EF4-FFF2-40B4-BE49-F238E27FC236}">
              <a16:creationId xmlns:a16="http://schemas.microsoft.com/office/drawing/2014/main" id="{04ECAC4E-E3B2-40EC-9736-D97A5BA96EB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45" name="Isosceles Triangle 2144">
          <a:extLst>
            <a:ext uri="{FF2B5EF4-FFF2-40B4-BE49-F238E27FC236}">
              <a16:creationId xmlns:a16="http://schemas.microsoft.com/office/drawing/2014/main" id="{99F579E8-46C9-46F7-A402-136F670023A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46" name="Isosceles Triangle 2145">
          <a:extLst>
            <a:ext uri="{FF2B5EF4-FFF2-40B4-BE49-F238E27FC236}">
              <a16:creationId xmlns:a16="http://schemas.microsoft.com/office/drawing/2014/main" id="{7EEC1B6E-2078-43C3-97E1-3592F6382AB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47" name="Isosceles Triangle 2146">
          <a:extLst>
            <a:ext uri="{FF2B5EF4-FFF2-40B4-BE49-F238E27FC236}">
              <a16:creationId xmlns:a16="http://schemas.microsoft.com/office/drawing/2014/main" id="{B51D849A-2FFF-473D-9C7E-4D1AD389A7A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48" name="Isosceles Triangle 2147">
          <a:extLst>
            <a:ext uri="{FF2B5EF4-FFF2-40B4-BE49-F238E27FC236}">
              <a16:creationId xmlns:a16="http://schemas.microsoft.com/office/drawing/2014/main" id="{E22DE4D9-809A-4A04-AB4E-7051B94FEB1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49" name="Isosceles Triangle 2148">
          <a:extLst>
            <a:ext uri="{FF2B5EF4-FFF2-40B4-BE49-F238E27FC236}">
              <a16:creationId xmlns:a16="http://schemas.microsoft.com/office/drawing/2014/main" id="{A75CF3E0-0A4F-467F-8C20-F8548F0CA31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50" name="Isosceles Triangle 2149">
          <a:extLst>
            <a:ext uri="{FF2B5EF4-FFF2-40B4-BE49-F238E27FC236}">
              <a16:creationId xmlns:a16="http://schemas.microsoft.com/office/drawing/2014/main" id="{F0AC0502-5CE5-4F05-ADF2-C8D98DD80D9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51" name="Isosceles Triangle 2150">
          <a:extLst>
            <a:ext uri="{FF2B5EF4-FFF2-40B4-BE49-F238E27FC236}">
              <a16:creationId xmlns:a16="http://schemas.microsoft.com/office/drawing/2014/main" id="{F32222DE-70A0-468B-A346-A293A15550D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52" name="Isosceles Triangle 2151">
          <a:extLst>
            <a:ext uri="{FF2B5EF4-FFF2-40B4-BE49-F238E27FC236}">
              <a16:creationId xmlns:a16="http://schemas.microsoft.com/office/drawing/2014/main" id="{AD78F5D9-855F-4774-8EBB-A8F5E2B4954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53" name="Isosceles Triangle 2152">
          <a:extLst>
            <a:ext uri="{FF2B5EF4-FFF2-40B4-BE49-F238E27FC236}">
              <a16:creationId xmlns:a16="http://schemas.microsoft.com/office/drawing/2014/main" id="{D68B09F6-F4CB-486E-8F65-484B3A2C209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54" name="Isosceles Triangle 2153">
          <a:extLst>
            <a:ext uri="{FF2B5EF4-FFF2-40B4-BE49-F238E27FC236}">
              <a16:creationId xmlns:a16="http://schemas.microsoft.com/office/drawing/2014/main" id="{D0178138-92AD-4913-B1B1-BB5E607E855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55" name="Isosceles Triangle 2154">
          <a:extLst>
            <a:ext uri="{FF2B5EF4-FFF2-40B4-BE49-F238E27FC236}">
              <a16:creationId xmlns:a16="http://schemas.microsoft.com/office/drawing/2014/main" id="{E884393F-A96F-4653-AEEA-AC2F70329EE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56" name="Isosceles Triangle 2155">
          <a:extLst>
            <a:ext uri="{FF2B5EF4-FFF2-40B4-BE49-F238E27FC236}">
              <a16:creationId xmlns:a16="http://schemas.microsoft.com/office/drawing/2014/main" id="{91BA82B2-E889-4F3E-900D-68ADF834541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57" name="Isosceles Triangle 2156">
          <a:extLst>
            <a:ext uri="{FF2B5EF4-FFF2-40B4-BE49-F238E27FC236}">
              <a16:creationId xmlns:a16="http://schemas.microsoft.com/office/drawing/2014/main" id="{86473565-E19A-4DD7-8B46-4E8265CAB0D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58" name="Isosceles Triangle 2157">
          <a:extLst>
            <a:ext uri="{FF2B5EF4-FFF2-40B4-BE49-F238E27FC236}">
              <a16:creationId xmlns:a16="http://schemas.microsoft.com/office/drawing/2014/main" id="{D1657EBF-E596-45B3-B73B-0E7631B1B5B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59" name="Isosceles Triangle 2158">
          <a:extLst>
            <a:ext uri="{FF2B5EF4-FFF2-40B4-BE49-F238E27FC236}">
              <a16:creationId xmlns:a16="http://schemas.microsoft.com/office/drawing/2014/main" id="{7B21E1B6-F17E-4BED-8D81-DF8FBFB6C22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60" name="Isosceles Triangle 2159">
          <a:extLst>
            <a:ext uri="{FF2B5EF4-FFF2-40B4-BE49-F238E27FC236}">
              <a16:creationId xmlns:a16="http://schemas.microsoft.com/office/drawing/2014/main" id="{BAC63AB3-ACE9-43A3-82D9-465B7AFAF2E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61" name="Isosceles Triangle 2160">
          <a:extLst>
            <a:ext uri="{FF2B5EF4-FFF2-40B4-BE49-F238E27FC236}">
              <a16:creationId xmlns:a16="http://schemas.microsoft.com/office/drawing/2014/main" id="{6CDF19BF-831D-4859-971E-134C7E4A7BE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62" name="Isosceles Triangle 2161">
          <a:extLst>
            <a:ext uri="{FF2B5EF4-FFF2-40B4-BE49-F238E27FC236}">
              <a16:creationId xmlns:a16="http://schemas.microsoft.com/office/drawing/2014/main" id="{4453EFF0-4794-4BBE-87EA-616A79C4E0C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63" name="Isosceles Triangle 2162">
          <a:extLst>
            <a:ext uri="{FF2B5EF4-FFF2-40B4-BE49-F238E27FC236}">
              <a16:creationId xmlns:a16="http://schemas.microsoft.com/office/drawing/2014/main" id="{94CAD0F1-F422-4E36-A964-560F89CBA83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64" name="Isosceles Triangle 2163">
          <a:extLst>
            <a:ext uri="{FF2B5EF4-FFF2-40B4-BE49-F238E27FC236}">
              <a16:creationId xmlns:a16="http://schemas.microsoft.com/office/drawing/2014/main" id="{ECE59CE7-0574-4B4C-93CE-93806B092AE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65" name="Isosceles Triangle 2164">
          <a:extLst>
            <a:ext uri="{FF2B5EF4-FFF2-40B4-BE49-F238E27FC236}">
              <a16:creationId xmlns:a16="http://schemas.microsoft.com/office/drawing/2014/main" id="{5E2373DF-A35C-41F0-8EBA-B5403681B6D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66" name="Isosceles Triangle 2165">
          <a:extLst>
            <a:ext uri="{FF2B5EF4-FFF2-40B4-BE49-F238E27FC236}">
              <a16:creationId xmlns:a16="http://schemas.microsoft.com/office/drawing/2014/main" id="{110DF239-6A2F-4D70-81B4-9D2D088F065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67" name="Isosceles Triangle 2166">
          <a:extLst>
            <a:ext uri="{FF2B5EF4-FFF2-40B4-BE49-F238E27FC236}">
              <a16:creationId xmlns:a16="http://schemas.microsoft.com/office/drawing/2014/main" id="{805B7839-FE55-4172-B099-2BBD3BDC323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68" name="Isosceles Triangle 2167">
          <a:extLst>
            <a:ext uri="{FF2B5EF4-FFF2-40B4-BE49-F238E27FC236}">
              <a16:creationId xmlns:a16="http://schemas.microsoft.com/office/drawing/2014/main" id="{03C8958E-DA1B-46E6-B64B-73EA1598E7C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69" name="Isosceles Triangle 2168">
          <a:extLst>
            <a:ext uri="{FF2B5EF4-FFF2-40B4-BE49-F238E27FC236}">
              <a16:creationId xmlns:a16="http://schemas.microsoft.com/office/drawing/2014/main" id="{E6B485BB-2458-4A52-A602-47480FE4196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70" name="Isosceles Triangle 2169">
          <a:extLst>
            <a:ext uri="{FF2B5EF4-FFF2-40B4-BE49-F238E27FC236}">
              <a16:creationId xmlns:a16="http://schemas.microsoft.com/office/drawing/2014/main" id="{7DBAC5E6-8914-43EA-BF9C-CA1004332C7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71" name="Isosceles Triangle 2170">
          <a:extLst>
            <a:ext uri="{FF2B5EF4-FFF2-40B4-BE49-F238E27FC236}">
              <a16:creationId xmlns:a16="http://schemas.microsoft.com/office/drawing/2014/main" id="{D6154D11-3981-4827-B4A9-57AA2E2EA6A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72" name="Isosceles Triangle 2171">
          <a:extLst>
            <a:ext uri="{FF2B5EF4-FFF2-40B4-BE49-F238E27FC236}">
              <a16:creationId xmlns:a16="http://schemas.microsoft.com/office/drawing/2014/main" id="{314EE41D-5928-4058-8445-29A4B0168AE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73" name="Isosceles Triangle 2172">
          <a:extLst>
            <a:ext uri="{FF2B5EF4-FFF2-40B4-BE49-F238E27FC236}">
              <a16:creationId xmlns:a16="http://schemas.microsoft.com/office/drawing/2014/main" id="{60CFA9E6-342A-4B11-A1F1-15BFCBD162B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74" name="Isosceles Triangle 2173">
          <a:extLst>
            <a:ext uri="{FF2B5EF4-FFF2-40B4-BE49-F238E27FC236}">
              <a16:creationId xmlns:a16="http://schemas.microsoft.com/office/drawing/2014/main" id="{AE95A5E4-8267-4B93-B8BA-1B7606BBCE0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75" name="Isosceles Triangle 2174">
          <a:extLst>
            <a:ext uri="{FF2B5EF4-FFF2-40B4-BE49-F238E27FC236}">
              <a16:creationId xmlns:a16="http://schemas.microsoft.com/office/drawing/2014/main" id="{9614701D-D496-4C71-8858-B3B7F700832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76" name="Isosceles Triangle 2175">
          <a:extLst>
            <a:ext uri="{FF2B5EF4-FFF2-40B4-BE49-F238E27FC236}">
              <a16:creationId xmlns:a16="http://schemas.microsoft.com/office/drawing/2014/main" id="{83D544F6-8F60-4D7D-896A-92162FAFECF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77" name="Isosceles Triangle 2176">
          <a:extLst>
            <a:ext uri="{FF2B5EF4-FFF2-40B4-BE49-F238E27FC236}">
              <a16:creationId xmlns:a16="http://schemas.microsoft.com/office/drawing/2014/main" id="{5626883B-740D-43D6-9C30-749C1E9E774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78" name="Isosceles Triangle 2177">
          <a:extLst>
            <a:ext uri="{FF2B5EF4-FFF2-40B4-BE49-F238E27FC236}">
              <a16:creationId xmlns:a16="http://schemas.microsoft.com/office/drawing/2014/main" id="{628FA509-103D-4178-AC07-D7095F60220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79" name="Isosceles Triangle 2178">
          <a:extLst>
            <a:ext uri="{FF2B5EF4-FFF2-40B4-BE49-F238E27FC236}">
              <a16:creationId xmlns:a16="http://schemas.microsoft.com/office/drawing/2014/main" id="{3E847D54-5194-4E2A-96FF-014F6E0BCFB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80" name="Isosceles Triangle 2179">
          <a:extLst>
            <a:ext uri="{FF2B5EF4-FFF2-40B4-BE49-F238E27FC236}">
              <a16:creationId xmlns:a16="http://schemas.microsoft.com/office/drawing/2014/main" id="{CF8E70C3-329F-4491-A8D5-3830AEBF17D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81" name="Isosceles Triangle 2180">
          <a:extLst>
            <a:ext uri="{FF2B5EF4-FFF2-40B4-BE49-F238E27FC236}">
              <a16:creationId xmlns:a16="http://schemas.microsoft.com/office/drawing/2014/main" id="{A3A98F91-F183-4FCC-A3A7-7B72C6E96C2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82" name="Isosceles Triangle 2181">
          <a:extLst>
            <a:ext uri="{FF2B5EF4-FFF2-40B4-BE49-F238E27FC236}">
              <a16:creationId xmlns:a16="http://schemas.microsoft.com/office/drawing/2014/main" id="{4BBF7E3E-5413-4FC5-9543-7AED0F42AC1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83" name="Isosceles Triangle 2182">
          <a:extLst>
            <a:ext uri="{FF2B5EF4-FFF2-40B4-BE49-F238E27FC236}">
              <a16:creationId xmlns:a16="http://schemas.microsoft.com/office/drawing/2014/main" id="{205C297B-AA18-4643-AFFC-B61AB3D33AE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84" name="Isosceles Triangle 2183">
          <a:extLst>
            <a:ext uri="{FF2B5EF4-FFF2-40B4-BE49-F238E27FC236}">
              <a16:creationId xmlns:a16="http://schemas.microsoft.com/office/drawing/2014/main" id="{F53A0671-D2FA-41E5-A122-2A021466681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85" name="Isosceles Triangle 2184">
          <a:extLst>
            <a:ext uri="{FF2B5EF4-FFF2-40B4-BE49-F238E27FC236}">
              <a16:creationId xmlns:a16="http://schemas.microsoft.com/office/drawing/2014/main" id="{0B89DA5D-4E8B-4BF0-8213-124096D2A4C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86" name="Isosceles Triangle 2185">
          <a:extLst>
            <a:ext uri="{FF2B5EF4-FFF2-40B4-BE49-F238E27FC236}">
              <a16:creationId xmlns:a16="http://schemas.microsoft.com/office/drawing/2014/main" id="{7A9305AC-D1E0-4D12-84DD-6FEB30D2C28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87" name="Isosceles Triangle 2186">
          <a:extLst>
            <a:ext uri="{FF2B5EF4-FFF2-40B4-BE49-F238E27FC236}">
              <a16:creationId xmlns:a16="http://schemas.microsoft.com/office/drawing/2014/main" id="{B201C7CB-A05A-4816-95BF-6AE84092151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88" name="Isosceles Triangle 2187">
          <a:extLst>
            <a:ext uri="{FF2B5EF4-FFF2-40B4-BE49-F238E27FC236}">
              <a16:creationId xmlns:a16="http://schemas.microsoft.com/office/drawing/2014/main" id="{CA2AEECF-B393-4D9B-B8BB-01723E3F206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89" name="Isosceles Triangle 2188">
          <a:extLst>
            <a:ext uri="{FF2B5EF4-FFF2-40B4-BE49-F238E27FC236}">
              <a16:creationId xmlns:a16="http://schemas.microsoft.com/office/drawing/2014/main" id="{F610ADB0-6A3F-4FAE-961A-EBCC9CF43EE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90" name="Isosceles Triangle 2189">
          <a:extLst>
            <a:ext uri="{FF2B5EF4-FFF2-40B4-BE49-F238E27FC236}">
              <a16:creationId xmlns:a16="http://schemas.microsoft.com/office/drawing/2014/main" id="{472965ED-5A9D-4C1A-8F4C-9BD75A90717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91" name="Isosceles Triangle 2190">
          <a:extLst>
            <a:ext uri="{FF2B5EF4-FFF2-40B4-BE49-F238E27FC236}">
              <a16:creationId xmlns:a16="http://schemas.microsoft.com/office/drawing/2014/main" id="{E894D6F6-0194-4FBD-9492-1E11DE667EE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92" name="Isosceles Triangle 2191">
          <a:extLst>
            <a:ext uri="{FF2B5EF4-FFF2-40B4-BE49-F238E27FC236}">
              <a16:creationId xmlns:a16="http://schemas.microsoft.com/office/drawing/2014/main" id="{F9135064-BE95-4A70-A497-835DC7E0CE5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93" name="Isosceles Triangle 2192">
          <a:extLst>
            <a:ext uri="{FF2B5EF4-FFF2-40B4-BE49-F238E27FC236}">
              <a16:creationId xmlns:a16="http://schemas.microsoft.com/office/drawing/2014/main" id="{C874E38E-4A26-4A91-8782-A7D33BDE582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94" name="Isosceles Triangle 2193">
          <a:extLst>
            <a:ext uri="{FF2B5EF4-FFF2-40B4-BE49-F238E27FC236}">
              <a16:creationId xmlns:a16="http://schemas.microsoft.com/office/drawing/2014/main" id="{BE827E3A-61A6-4AC8-A5AE-4F09F274B5C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95" name="Isosceles Triangle 2194">
          <a:extLst>
            <a:ext uri="{FF2B5EF4-FFF2-40B4-BE49-F238E27FC236}">
              <a16:creationId xmlns:a16="http://schemas.microsoft.com/office/drawing/2014/main" id="{7C11DDB5-514B-4F93-A193-BC835BC1811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96" name="Isosceles Triangle 2195">
          <a:extLst>
            <a:ext uri="{FF2B5EF4-FFF2-40B4-BE49-F238E27FC236}">
              <a16:creationId xmlns:a16="http://schemas.microsoft.com/office/drawing/2014/main" id="{9F2DA45D-9FC5-4BF2-83F9-7BEFCD1B7DD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97" name="Isosceles Triangle 2196">
          <a:extLst>
            <a:ext uri="{FF2B5EF4-FFF2-40B4-BE49-F238E27FC236}">
              <a16:creationId xmlns:a16="http://schemas.microsoft.com/office/drawing/2014/main" id="{DD1F076F-22B3-41E2-9E13-1C274214ADB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98" name="Isosceles Triangle 2197">
          <a:extLst>
            <a:ext uri="{FF2B5EF4-FFF2-40B4-BE49-F238E27FC236}">
              <a16:creationId xmlns:a16="http://schemas.microsoft.com/office/drawing/2014/main" id="{FA0EE0E9-0AA4-49EE-BFC6-4C72B656F7F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199" name="Isosceles Triangle 2198">
          <a:extLst>
            <a:ext uri="{FF2B5EF4-FFF2-40B4-BE49-F238E27FC236}">
              <a16:creationId xmlns:a16="http://schemas.microsoft.com/office/drawing/2014/main" id="{EF0AEC04-5139-4C39-9F22-87EF47EEDE6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00" name="Isosceles Triangle 2199">
          <a:extLst>
            <a:ext uri="{FF2B5EF4-FFF2-40B4-BE49-F238E27FC236}">
              <a16:creationId xmlns:a16="http://schemas.microsoft.com/office/drawing/2014/main" id="{06F5178C-E105-482A-9A0F-FCA907F9565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01" name="Isosceles Triangle 2200">
          <a:extLst>
            <a:ext uri="{FF2B5EF4-FFF2-40B4-BE49-F238E27FC236}">
              <a16:creationId xmlns:a16="http://schemas.microsoft.com/office/drawing/2014/main" id="{8B13A79B-1497-49E4-AAA9-6A3D21783F5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02" name="Isosceles Triangle 2201">
          <a:extLst>
            <a:ext uri="{FF2B5EF4-FFF2-40B4-BE49-F238E27FC236}">
              <a16:creationId xmlns:a16="http://schemas.microsoft.com/office/drawing/2014/main" id="{A1D01AC5-5886-49BE-A4A9-AE05B039202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03" name="Isosceles Triangle 2202">
          <a:extLst>
            <a:ext uri="{FF2B5EF4-FFF2-40B4-BE49-F238E27FC236}">
              <a16:creationId xmlns:a16="http://schemas.microsoft.com/office/drawing/2014/main" id="{798744DA-5E98-43AE-AABA-D2EC787BEA5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04" name="Isosceles Triangle 2203">
          <a:extLst>
            <a:ext uri="{FF2B5EF4-FFF2-40B4-BE49-F238E27FC236}">
              <a16:creationId xmlns:a16="http://schemas.microsoft.com/office/drawing/2014/main" id="{3120BFF6-2772-4CD4-9EC0-04FA7785A66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05" name="Isosceles Triangle 2204">
          <a:extLst>
            <a:ext uri="{FF2B5EF4-FFF2-40B4-BE49-F238E27FC236}">
              <a16:creationId xmlns:a16="http://schemas.microsoft.com/office/drawing/2014/main" id="{207CB214-E6E2-435B-BB6C-FB081548057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06" name="Isosceles Triangle 2205">
          <a:extLst>
            <a:ext uri="{FF2B5EF4-FFF2-40B4-BE49-F238E27FC236}">
              <a16:creationId xmlns:a16="http://schemas.microsoft.com/office/drawing/2014/main" id="{88829A35-39BB-4EA1-BDAB-131DC84E9CC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07" name="Isosceles Triangle 2206">
          <a:extLst>
            <a:ext uri="{FF2B5EF4-FFF2-40B4-BE49-F238E27FC236}">
              <a16:creationId xmlns:a16="http://schemas.microsoft.com/office/drawing/2014/main" id="{D4721EE1-C762-4AB4-B59B-E8E948BEFCC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08" name="Isosceles Triangle 2207">
          <a:extLst>
            <a:ext uri="{FF2B5EF4-FFF2-40B4-BE49-F238E27FC236}">
              <a16:creationId xmlns:a16="http://schemas.microsoft.com/office/drawing/2014/main" id="{CE074795-45BA-48A5-BDE9-47123C668DA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09" name="Isosceles Triangle 2208">
          <a:extLst>
            <a:ext uri="{FF2B5EF4-FFF2-40B4-BE49-F238E27FC236}">
              <a16:creationId xmlns:a16="http://schemas.microsoft.com/office/drawing/2014/main" id="{DE7AF151-0605-4BF8-801F-3EA8281406B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10" name="Isosceles Triangle 2209">
          <a:extLst>
            <a:ext uri="{FF2B5EF4-FFF2-40B4-BE49-F238E27FC236}">
              <a16:creationId xmlns:a16="http://schemas.microsoft.com/office/drawing/2014/main" id="{14E83831-39AA-44BF-9AD0-F7012110F7D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11" name="Isosceles Triangle 2210">
          <a:extLst>
            <a:ext uri="{FF2B5EF4-FFF2-40B4-BE49-F238E27FC236}">
              <a16:creationId xmlns:a16="http://schemas.microsoft.com/office/drawing/2014/main" id="{87ECE450-54CF-4E50-9363-0423CB88769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12" name="Isosceles Triangle 2211">
          <a:extLst>
            <a:ext uri="{FF2B5EF4-FFF2-40B4-BE49-F238E27FC236}">
              <a16:creationId xmlns:a16="http://schemas.microsoft.com/office/drawing/2014/main" id="{76A58D67-7B23-4117-89C4-F92240334F7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13" name="Isosceles Triangle 2212">
          <a:extLst>
            <a:ext uri="{FF2B5EF4-FFF2-40B4-BE49-F238E27FC236}">
              <a16:creationId xmlns:a16="http://schemas.microsoft.com/office/drawing/2014/main" id="{3DA34D47-177F-4B47-88B0-ABC295A112F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14" name="Isosceles Triangle 2213">
          <a:extLst>
            <a:ext uri="{FF2B5EF4-FFF2-40B4-BE49-F238E27FC236}">
              <a16:creationId xmlns:a16="http://schemas.microsoft.com/office/drawing/2014/main" id="{4136B6C3-1948-402A-AE85-8CA2E1F9345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15" name="Isosceles Triangle 2214">
          <a:extLst>
            <a:ext uri="{FF2B5EF4-FFF2-40B4-BE49-F238E27FC236}">
              <a16:creationId xmlns:a16="http://schemas.microsoft.com/office/drawing/2014/main" id="{D70FB011-BFD2-4C04-A5AE-E21276F5B11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16" name="Isosceles Triangle 2215">
          <a:extLst>
            <a:ext uri="{FF2B5EF4-FFF2-40B4-BE49-F238E27FC236}">
              <a16:creationId xmlns:a16="http://schemas.microsoft.com/office/drawing/2014/main" id="{E063ABBA-B4E8-491F-862B-CF8EE83C29B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17" name="Isosceles Triangle 2216">
          <a:extLst>
            <a:ext uri="{FF2B5EF4-FFF2-40B4-BE49-F238E27FC236}">
              <a16:creationId xmlns:a16="http://schemas.microsoft.com/office/drawing/2014/main" id="{71F40BE5-CDE2-4BB9-921F-32CE8B7F45E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18" name="Isosceles Triangle 2217">
          <a:extLst>
            <a:ext uri="{FF2B5EF4-FFF2-40B4-BE49-F238E27FC236}">
              <a16:creationId xmlns:a16="http://schemas.microsoft.com/office/drawing/2014/main" id="{FAF3450C-1D68-44CF-AC8F-7BC5DC16037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19" name="Isosceles Triangle 2218">
          <a:extLst>
            <a:ext uri="{FF2B5EF4-FFF2-40B4-BE49-F238E27FC236}">
              <a16:creationId xmlns:a16="http://schemas.microsoft.com/office/drawing/2014/main" id="{7B2CD481-9CFA-4422-B047-33DED55B39C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20" name="Isosceles Triangle 2219">
          <a:extLst>
            <a:ext uri="{FF2B5EF4-FFF2-40B4-BE49-F238E27FC236}">
              <a16:creationId xmlns:a16="http://schemas.microsoft.com/office/drawing/2014/main" id="{90BD2440-6343-4D8E-B141-DFD41F83ADB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21" name="Isosceles Triangle 2220">
          <a:extLst>
            <a:ext uri="{FF2B5EF4-FFF2-40B4-BE49-F238E27FC236}">
              <a16:creationId xmlns:a16="http://schemas.microsoft.com/office/drawing/2014/main" id="{D4719E22-EBCE-44E7-A9ED-E2B490105B8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22" name="Isosceles Triangle 2221">
          <a:extLst>
            <a:ext uri="{FF2B5EF4-FFF2-40B4-BE49-F238E27FC236}">
              <a16:creationId xmlns:a16="http://schemas.microsoft.com/office/drawing/2014/main" id="{71E69CED-DB53-4B45-ADC9-880C8B52797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23" name="Isosceles Triangle 2222">
          <a:extLst>
            <a:ext uri="{FF2B5EF4-FFF2-40B4-BE49-F238E27FC236}">
              <a16:creationId xmlns:a16="http://schemas.microsoft.com/office/drawing/2014/main" id="{1351763E-4C40-4520-9DE2-ADA60AFBCC8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24" name="Isosceles Triangle 2223">
          <a:extLst>
            <a:ext uri="{FF2B5EF4-FFF2-40B4-BE49-F238E27FC236}">
              <a16:creationId xmlns:a16="http://schemas.microsoft.com/office/drawing/2014/main" id="{CD67E3AF-E7B1-414C-84AF-70970302D80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25" name="Isosceles Triangle 2224">
          <a:extLst>
            <a:ext uri="{FF2B5EF4-FFF2-40B4-BE49-F238E27FC236}">
              <a16:creationId xmlns:a16="http://schemas.microsoft.com/office/drawing/2014/main" id="{2E96E377-DB67-4B77-B2DE-BBC07496B2E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26" name="Isosceles Triangle 2225">
          <a:extLst>
            <a:ext uri="{FF2B5EF4-FFF2-40B4-BE49-F238E27FC236}">
              <a16:creationId xmlns:a16="http://schemas.microsoft.com/office/drawing/2014/main" id="{9293E608-E7F3-459E-93E2-94F444A0874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27" name="Isosceles Triangle 2226">
          <a:extLst>
            <a:ext uri="{FF2B5EF4-FFF2-40B4-BE49-F238E27FC236}">
              <a16:creationId xmlns:a16="http://schemas.microsoft.com/office/drawing/2014/main" id="{151FC816-AD67-46DE-83F1-ACAE61CAED0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28" name="Isosceles Triangle 2227">
          <a:extLst>
            <a:ext uri="{FF2B5EF4-FFF2-40B4-BE49-F238E27FC236}">
              <a16:creationId xmlns:a16="http://schemas.microsoft.com/office/drawing/2014/main" id="{B5AFF4B1-A224-4D07-AAA6-BD4E133E697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29" name="Isosceles Triangle 2228">
          <a:extLst>
            <a:ext uri="{FF2B5EF4-FFF2-40B4-BE49-F238E27FC236}">
              <a16:creationId xmlns:a16="http://schemas.microsoft.com/office/drawing/2014/main" id="{F8FE6FFA-217E-4AD3-87DF-179C88A785C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30" name="Isosceles Triangle 2229">
          <a:extLst>
            <a:ext uri="{FF2B5EF4-FFF2-40B4-BE49-F238E27FC236}">
              <a16:creationId xmlns:a16="http://schemas.microsoft.com/office/drawing/2014/main" id="{9C88CA6C-BF2B-4ADB-B1D4-D306E37F3A7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31" name="Isosceles Triangle 2230">
          <a:extLst>
            <a:ext uri="{FF2B5EF4-FFF2-40B4-BE49-F238E27FC236}">
              <a16:creationId xmlns:a16="http://schemas.microsoft.com/office/drawing/2014/main" id="{8FECFF27-4866-4125-A209-360CD43FC2C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32" name="Isosceles Triangle 2231">
          <a:extLst>
            <a:ext uri="{FF2B5EF4-FFF2-40B4-BE49-F238E27FC236}">
              <a16:creationId xmlns:a16="http://schemas.microsoft.com/office/drawing/2014/main" id="{B3C0B1D6-9348-4565-8FD9-0066A5BBC3B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33" name="Isosceles Triangle 2232">
          <a:extLst>
            <a:ext uri="{FF2B5EF4-FFF2-40B4-BE49-F238E27FC236}">
              <a16:creationId xmlns:a16="http://schemas.microsoft.com/office/drawing/2014/main" id="{F261D5E0-02E9-42EA-9954-1AD0D32DC8D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34" name="Isosceles Triangle 2233">
          <a:extLst>
            <a:ext uri="{FF2B5EF4-FFF2-40B4-BE49-F238E27FC236}">
              <a16:creationId xmlns:a16="http://schemas.microsoft.com/office/drawing/2014/main" id="{7522B484-4B9A-4D5E-83AF-20B7F2D3D8C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35" name="Isosceles Triangle 2234">
          <a:extLst>
            <a:ext uri="{FF2B5EF4-FFF2-40B4-BE49-F238E27FC236}">
              <a16:creationId xmlns:a16="http://schemas.microsoft.com/office/drawing/2014/main" id="{BFC6F83C-CB8F-4C6F-8492-8833F55AA9D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36" name="Isosceles Triangle 2235">
          <a:extLst>
            <a:ext uri="{FF2B5EF4-FFF2-40B4-BE49-F238E27FC236}">
              <a16:creationId xmlns:a16="http://schemas.microsoft.com/office/drawing/2014/main" id="{F61FAACE-70AC-4816-9CCB-41B537DA8A2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37" name="Isosceles Triangle 2236">
          <a:extLst>
            <a:ext uri="{FF2B5EF4-FFF2-40B4-BE49-F238E27FC236}">
              <a16:creationId xmlns:a16="http://schemas.microsoft.com/office/drawing/2014/main" id="{92C2858A-8132-41CF-979F-46C2B6AD734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38" name="Isosceles Triangle 2237">
          <a:extLst>
            <a:ext uri="{FF2B5EF4-FFF2-40B4-BE49-F238E27FC236}">
              <a16:creationId xmlns:a16="http://schemas.microsoft.com/office/drawing/2014/main" id="{930D60FA-33FF-443A-8E95-CBFE5D2F8EA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39" name="Isosceles Triangle 2238">
          <a:extLst>
            <a:ext uri="{FF2B5EF4-FFF2-40B4-BE49-F238E27FC236}">
              <a16:creationId xmlns:a16="http://schemas.microsoft.com/office/drawing/2014/main" id="{23406D4A-64E1-4F6D-8D6A-DD3A3BC66B2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40" name="Isosceles Triangle 2239">
          <a:extLst>
            <a:ext uri="{FF2B5EF4-FFF2-40B4-BE49-F238E27FC236}">
              <a16:creationId xmlns:a16="http://schemas.microsoft.com/office/drawing/2014/main" id="{976EE964-15AA-4640-982F-DA4E1721803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41" name="Isosceles Triangle 2240">
          <a:extLst>
            <a:ext uri="{FF2B5EF4-FFF2-40B4-BE49-F238E27FC236}">
              <a16:creationId xmlns:a16="http://schemas.microsoft.com/office/drawing/2014/main" id="{912E22D7-EE90-48BA-8F82-D9DEA85F92A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42" name="Isosceles Triangle 2241">
          <a:extLst>
            <a:ext uri="{FF2B5EF4-FFF2-40B4-BE49-F238E27FC236}">
              <a16:creationId xmlns:a16="http://schemas.microsoft.com/office/drawing/2014/main" id="{F960C884-699E-47DA-990F-F39354581DF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43" name="Isosceles Triangle 2242">
          <a:extLst>
            <a:ext uri="{FF2B5EF4-FFF2-40B4-BE49-F238E27FC236}">
              <a16:creationId xmlns:a16="http://schemas.microsoft.com/office/drawing/2014/main" id="{FB9DC2F5-6CD5-47FB-94EC-7E085D2214B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44" name="Isosceles Triangle 2243">
          <a:extLst>
            <a:ext uri="{FF2B5EF4-FFF2-40B4-BE49-F238E27FC236}">
              <a16:creationId xmlns:a16="http://schemas.microsoft.com/office/drawing/2014/main" id="{B3000C71-F61E-496C-9CDA-77C1212F3EC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45" name="Isosceles Triangle 2244">
          <a:extLst>
            <a:ext uri="{FF2B5EF4-FFF2-40B4-BE49-F238E27FC236}">
              <a16:creationId xmlns:a16="http://schemas.microsoft.com/office/drawing/2014/main" id="{9B5E42DF-AB26-45EF-8400-D22BE02124D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46" name="Isosceles Triangle 2245">
          <a:extLst>
            <a:ext uri="{FF2B5EF4-FFF2-40B4-BE49-F238E27FC236}">
              <a16:creationId xmlns:a16="http://schemas.microsoft.com/office/drawing/2014/main" id="{FDACE5DA-72FE-41EE-9325-17EF86BB41E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47" name="Isosceles Triangle 2246">
          <a:extLst>
            <a:ext uri="{FF2B5EF4-FFF2-40B4-BE49-F238E27FC236}">
              <a16:creationId xmlns:a16="http://schemas.microsoft.com/office/drawing/2014/main" id="{182E3FB9-5743-448F-B5D6-DA34A23E597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48" name="Isosceles Triangle 2247">
          <a:extLst>
            <a:ext uri="{FF2B5EF4-FFF2-40B4-BE49-F238E27FC236}">
              <a16:creationId xmlns:a16="http://schemas.microsoft.com/office/drawing/2014/main" id="{40F477AC-9E3A-47D9-A9B4-E4156158FF2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49" name="Isosceles Triangle 2248">
          <a:extLst>
            <a:ext uri="{FF2B5EF4-FFF2-40B4-BE49-F238E27FC236}">
              <a16:creationId xmlns:a16="http://schemas.microsoft.com/office/drawing/2014/main" id="{C0AEA33F-A678-4DEA-8090-7C2CFE95841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103</xdr:row>
      <xdr:rowOff>196272</xdr:rowOff>
    </xdr:from>
    <xdr:to>
      <xdr:col>10</xdr:col>
      <xdr:colOff>2320636</xdr:colOff>
      <xdr:row>103</xdr:row>
      <xdr:rowOff>346363</xdr:rowOff>
    </xdr:to>
    <xdr:sp macro="" textlink="">
      <xdr:nvSpPr>
        <xdr:cNvPr id="2250" name="Isosceles Triangle 2249">
          <a:extLst>
            <a:ext uri="{FF2B5EF4-FFF2-40B4-BE49-F238E27FC236}">
              <a16:creationId xmlns:a16="http://schemas.microsoft.com/office/drawing/2014/main" id="{F34199F8-695D-4D69-983B-273F50DBF0C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51" name="Isosceles Triangle 2250">
          <a:extLst>
            <a:ext uri="{FF2B5EF4-FFF2-40B4-BE49-F238E27FC236}">
              <a16:creationId xmlns:a16="http://schemas.microsoft.com/office/drawing/2014/main" id="{9CFD63DD-F92B-4B27-8355-A409A1D665A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52" name="Isosceles Triangle 2251">
          <a:extLst>
            <a:ext uri="{FF2B5EF4-FFF2-40B4-BE49-F238E27FC236}">
              <a16:creationId xmlns:a16="http://schemas.microsoft.com/office/drawing/2014/main" id="{31C1995F-4D19-4FCB-A447-F9F4B303C60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53" name="Isosceles Triangle 2252">
          <a:extLst>
            <a:ext uri="{FF2B5EF4-FFF2-40B4-BE49-F238E27FC236}">
              <a16:creationId xmlns:a16="http://schemas.microsoft.com/office/drawing/2014/main" id="{D35DBC31-DEE1-4688-9273-FE22BD856B6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54" name="Isosceles Triangle 2253">
          <a:extLst>
            <a:ext uri="{FF2B5EF4-FFF2-40B4-BE49-F238E27FC236}">
              <a16:creationId xmlns:a16="http://schemas.microsoft.com/office/drawing/2014/main" id="{CBB5BA1A-2AA1-4B12-9390-E2FAB3AB88F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55" name="Isosceles Triangle 2254">
          <a:extLst>
            <a:ext uri="{FF2B5EF4-FFF2-40B4-BE49-F238E27FC236}">
              <a16:creationId xmlns:a16="http://schemas.microsoft.com/office/drawing/2014/main" id="{011BF0F9-1440-45BD-A12C-5F6A4FD144E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56" name="Isosceles Triangle 2255">
          <a:extLst>
            <a:ext uri="{FF2B5EF4-FFF2-40B4-BE49-F238E27FC236}">
              <a16:creationId xmlns:a16="http://schemas.microsoft.com/office/drawing/2014/main" id="{6656E8CE-6F34-48D7-95C4-45E4BBEBF52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57" name="Isosceles Triangle 2256">
          <a:extLst>
            <a:ext uri="{FF2B5EF4-FFF2-40B4-BE49-F238E27FC236}">
              <a16:creationId xmlns:a16="http://schemas.microsoft.com/office/drawing/2014/main" id="{167022A6-5AA5-4D25-84F3-008F041B7D6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58" name="Isosceles Triangle 2257">
          <a:extLst>
            <a:ext uri="{FF2B5EF4-FFF2-40B4-BE49-F238E27FC236}">
              <a16:creationId xmlns:a16="http://schemas.microsoft.com/office/drawing/2014/main" id="{E9F2DAC8-05DD-4861-AD31-101EBD34A17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59" name="Isosceles Triangle 2258">
          <a:extLst>
            <a:ext uri="{FF2B5EF4-FFF2-40B4-BE49-F238E27FC236}">
              <a16:creationId xmlns:a16="http://schemas.microsoft.com/office/drawing/2014/main" id="{C5BC61C1-F0A2-46F7-82CC-B305B118160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60" name="Isosceles Triangle 2259">
          <a:extLst>
            <a:ext uri="{FF2B5EF4-FFF2-40B4-BE49-F238E27FC236}">
              <a16:creationId xmlns:a16="http://schemas.microsoft.com/office/drawing/2014/main" id="{5DAAAE37-070A-427A-9127-BC8268E1FA7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61" name="Isosceles Triangle 2260">
          <a:extLst>
            <a:ext uri="{FF2B5EF4-FFF2-40B4-BE49-F238E27FC236}">
              <a16:creationId xmlns:a16="http://schemas.microsoft.com/office/drawing/2014/main" id="{4D03B395-B17D-4119-B237-0412170BDCF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62" name="Isosceles Triangle 2261">
          <a:extLst>
            <a:ext uri="{FF2B5EF4-FFF2-40B4-BE49-F238E27FC236}">
              <a16:creationId xmlns:a16="http://schemas.microsoft.com/office/drawing/2014/main" id="{AD9011E9-D38C-471D-8036-5CAC0B2A75B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63" name="Isosceles Triangle 2262">
          <a:extLst>
            <a:ext uri="{FF2B5EF4-FFF2-40B4-BE49-F238E27FC236}">
              <a16:creationId xmlns:a16="http://schemas.microsoft.com/office/drawing/2014/main" id="{4F8AA6B4-FC51-4B3B-9113-06E2D084F2E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64" name="Isosceles Triangle 2263">
          <a:extLst>
            <a:ext uri="{FF2B5EF4-FFF2-40B4-BE49-F238E27FC236}">
              <a16:creationId xmlns:a16="http://schemas.microsoft.com/office/drawing/2014/main" id="{51C5CFC3-200D-46EB-AD12-2C9C3434A1C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65" name="Isosceles Triangle 2264">
          <a:extLst>
            <a:ext uri="{FF2B5EF4-FFF2-40B4-BE49-F238E27FC236}">
              <a16:creationId xmlns:a16="http://schemas.microsoft.com/office/drawing/2014/main" id="{EE2896DB-672F-4203-BCFC-2E16E2C6F04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66" name="Isosceles Triangle 2265">
          <a:extLst>
            <a:ext uri="{FF2B5EF4-FFF2-40B4-BE49-F238E27FC236}">
              <a16:creationId xmlns:a16="http://schemas.microsoft.com/office/drawing/2014/main" id="{0910A232-0A4E-4077-9608-38943CBAEF4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67" name="Isosceles Triangle 2266">
          <a:extLst>
            <a:ext uri="{FF2B5EF4-FFF2-40B4-BE49-F238E27FC236}">
              <a16:creationId xmlns:a16="http://schemas.microsoft.com/office/drawing/2014/main" id="{0346FA32-952E-4C19-8074-772AEA48EE0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68" name="Isosceles Triangle 2267">
          <a:extLst>
            <a:ext uri="{FF2B5EF4-FFF2-40B4-BE49-F238E27FC236}">
              <a16:creationId xmlns:a16="http://schemas.microsoft.com/office/drawing/2014/main" id="{60DA95A8-8E96-4CFF-9C00-F7874D45E62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69" name="Isosceles Triangle 2268">
          <a:extLst>
            <a:ext uri="{FF2B5EF4-FFF2-40B4-BE49-F238E27FC236}">
              <a16:creationId xmlns:a16="http://schemas.microsoft.com/office/drawing/2014/main" id="{E61C5B40-49C4-4C62-A5AC-683057B1E13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70" name="Isosceles Triangle 2269">
          <a:extLst>
            <a:ext uri="{FF2B5EF4-FFF2-40B4-BE49-F238E27FC236}">
              <a16:creationId xmlns:a16="http://schemas.microsoft.com/office/drawing/2014/main" id="{BD73AAF1-E3A7-490B-9057-06A79BC4478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71" name="Isosceles Triangle 2270">
          <a:extLst>
            <a:ext uri="{FF2B5EF4-FFF2-40B4-BE49-F238E27FC236}">
              <a16:creationId xmlns:a16="http://schemas.microsoft.com/office/drawing/2014/main" id="{A1A0298C-E116-43DA-9D33-EC0362243C3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72" name="Isosceles Triangle 2271">
          <a:extLst>
            <a:ext uri="{FF2B5EF4-FFF2-40B4-BE49-F238E27FC236}">
              <a16:creationId xmlns:a16="http://schemas.microsoft.com/office/drawing/2014/main" id="{A00D1E6F-C46C-47FF-8801-9F9DA93DF44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73" name="Isosceles Triangle 2272">
          <a:extLst>
            <a:ext uri="{FF2B5EF4-FFF2-40B4-BE49-F238E27FC236}">
              <a16:creationId xmlns:a16="http://schemas.microsoft.com/office/drawing/2014/main" id="{9696AE24-7299-4503-B060-D37D6AFFC4D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74" name="Isosceles Triangle 2273">
          <a:extLst>
            <a:ext uri="{FF2B5EF4-FFF2-40B4-BE49-F238E27FC236}">
              <a16:creationId xmlns:a16="http://schemas.microsoft.com/office/drawing/2014/main" id="{F1386A2E-F062-452F-A24E-894D4C964B2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75" name="Isosceles Triangle 2274">
          <a:extLst>
            <a:ext uri="{FF2B5EF4-FFF2-40B4-BE49-F238E27FC236}">
              <a16:creationId xmlns:a16="http://schemas.microsoft.com/office/drawing/2014/main" id="{98CEC5F4-2C24-4602-9F80-F63BB15872B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76" name="Isosceles Triangle 2275">
          <a:extLst>
            <a:ext uri="{FF2B5EF4-FFF2-40B4-BE49-F238E27FC236}">
              <a16:creationId xmlns:a16="http://schemas.microsoft.com/office/drawing/2014/main" id="{578E1992-1FF2-45BF-8955-D742AE52237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77" name="Isosceles Triangle 2276">
          <a:extLst>
            <a:ext uri="{FF2B5EF4-FFF2-40B4-BE49-F238E27FC236}">
              <a16:creationId xmlns:a16="http://schemas.microsoft.com/office/drawing/2014/main" id="{DD850CD2-9FF0-435F-8E57-A196F0C402F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78" name="Isosceles Triangle 2277">
          <a:extLst>
            <a:ext uri="{FF2B5EF4-FFF2-40B4-BE49-F238E27FC236}">
              <a16:creationId xmlns:a16="http://schemas.microsoft.com/office/drawing/2014/main" id="{8089A1D5-5BFA-4E7B-947A-F0499627F00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79" name="Isosceles Triangle 2278">
          <a:extLst>
            <a:ext uri="{FF2B5EF4-FFF2-40B4-BE49-F238E27FC236}">
              <a16:creationId xmlns:a16="http://schemas.microsoft.com/office/drawing/2014/main" id="{36A252AC-4201-4C5F-A3CD-E53012ECC25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80" name="Isosceles Triangle 2279">
          <a:extLst>
            <a:ext uri="{FF2B5EF4-FFF2-40B4-BE49-F238E27FC236}">
              <a16:creationId xmlns:a16="http://schemas.microsoft.com/office/drawing/2014/main" id="{6998B86A-40CC-4780-904E-7C1E3FEB5C8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81" name="Isosceles Triangle 2280">
          <a:extLst>
            <a:ext uri="{FF2B5EF4-FFF2-40B4-BE49-F238E27FC236}">
              <a16:creationId xmlns:a16="http://schemas.microsoft.com/office/drawing/2014/main" id="{68D86211-01D1-4373-921A-1C0497281E3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82" name="Isosceles Triangle 2281">
          <a:extLst>
            <a:ext uri="{FF2B5EF4-FFF2-40B4-BE49-F238E27FC236}">
              <a16:creationId xmlns:a16="http://schemas.microsoft.com/office/drawing/2014/main" id="{14CA1D01-77FA-4DF8-8734-C91F745DAA0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83" name="Isosceles Triangle 2282">
          <a:extLst>
            <a:ext uri="{FF2B5EF4-FFF2-40B4-BE49-F238E27FC236}">
              <a16:creationId xmlns:a16="http://schemas.microsoft.com/office/drawing/2014/main" id="{5CF31C7A-11EE-4986-9C71-FE4F92A039E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84" name="Isosceles Triangle 2283">
          <a:extLst>
            <a:ext uri="{FF2B5EF4-FFF2-40B4-BE49-F238E27FC236}">
              <a16:creationId xmlns:a16="http://schemas.microsoft.com/office/drawing/2014/main" id="{605FF9FE-F394-4987-91A7-0D3EF0C77B0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85" name="Isosceles Triangle 2284">
          <a:extLst>
            <a:ext uri="{FF2B5EF4-FFF2-40B4-BE49-F238E27FC236}">
              <a16:creationId xmlns:a16="http://schemas.microsoft.com/office/drawing/2014/main" id="{22EED88E-4B34-4C59-AC0D-BD093A1F3DA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86" name="Isosceles Triangle 2285">
          <a:extLst>
            <a:ext uri="{FF2B5EF4-FFF2-40B4-BE49-F238E27FC236}">
              <a16:creationId xmlns:a16="http://schemas.microsoft.com/office/drawing/2014/main" id="{1C1268CC-9012-4F39-882C-461B10DA16E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87" name="Isosceles Triangle 2286">
          <a:extLst>
            <a:ext uri="{FF2B5EF4-FFF2-40B4-BE49-F238E27FC236}">
              <a16:creationId xmlns:a16="http://schemas.microsoft.com/office/drawing/2014/main" id="{A4170A0F-F605-46AE-A5B6-0536A6C5D17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88" name="Isosceles Triangle 2287">
          <a:extLst>
            <a:ext uri="{FF2B5EF4-FFF2-40B4-BE49-F238E27FC236}">
              <a16:creationId xmlns:a16="http://schemas.microsoft.com/office/drawing/2014/main" id="{5FD7619A-9A46-4C5C-9FE1-EF54210C8F0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89" name="Isosceles Triangle 2288">
          <a:extLst>
            <a:ext uri="{FF2B5EF4-FFF2-40B4-BE49-F238E27FC236}">
              <a16:creationId xmlns:a16="http://schemas.microsoft.com/office/drawing/2014/main" id="{99B375FF-005E-46BC-9292-65981307AD6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90" name="Isosceles Triangle 2289">
          <a:extLst>
            <a:ext uri="{FF2B5EF4-FFF2-40B4-BE49-F238E27FC236}">
              <a16:creationId xmlns:a16="http://schemas.microsoft.com/office/drawing/2014/main" id="{F4742539-1860-469A-A962-051FFD9FC4F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91" name="Isosceles Triangle 2290">
          <a:extLst>
            <a:ext uri="{FF2B5EF4-FFF2-40B4-BE49-F238E27FC236}">
              <a16:creationId xmlns:a16="http://schemas.microsoft.com/office/drawing/2014/main" id="{3F16BECD-E074-4F12-82F8-DD6BDECFD88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92" name="Isosceles Triangle 2291">
          <a:extLst>
            <a:ext uri="{FF2B5EF4-FFF2-40B4-BE49-F238E27FC236}">
              <a16:creationId xmlns:a16="http://schemas.microsoft.com/office/drawing/2014/main" id="{22F747BC-D094-41F7-9CBD-628ED3F04DA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93" name="Isosceles Triangle 2292">
          <a:extLst>
            <a:ext uri="{FF2B5EF4-FFF2-40B4-BE49-F238E27FC236}">
              <a16:creationId xmlns:a16="http://schemas.microsoft.com/office/drawing/2014/main" id="{3C8992D6-1147-47CF-B4AC-3D8C43E6E78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94" name="Isosceles Triangle 2293">
          <a:extLst>
            <a:ext uri="{FF2B5EF4-FFF2-40B4-BE49-F238E27FC236}">
              <a16:creationId xmlns:a16="http://schemas.microsoft.com/office/drawing/2014/main" id="{842B6772-8494-4EB5-AC21-2F697AE1E3E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95" name="Isosceles Triangle 2294">
          <a:extLst>
            <a:ext uri="{FF2B5EF4-FFF2-40B4-BE49-F238E27FC236}">
              <a16:creationId xmlns:a16="http://schemas.microsoft.com/office/drawing/2014/main" id="{96A4CD98-EE41-4A3E-AA46-7FCAAD272CF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96" name="Isosceles Triangle 2295">
          <a:extLst>
            <a:ext uri="{FF2B5EF4-FFF2-40B4-BE49-F238E27FC236}">
              <a16:creationId xmlns:a16="http://schemas.microsoft.com/office/drawing/2014/main" id="{5A1A57A0-0C27-4760-9AE1-AB21E243B34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97" name="Isosceles Triangle 2296">
          <a:extLst>
            <a:ext uri="{FF2B5EF4-FFF2-40B4-BE49-F238E27FC236}">
              <a16:creationId xmlns:a16="http://schemas.microsoft.com/office/drawing/2014/main" id="{87A70E90-BE22-4D08-B752-587BCF0094D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98" name="Isosceles Triangle 2297">
          <a:extLst>
            <a:ext uri="{FF2B5EF4-FFF2-40B4-BE49-F238E27FC236}">
              <a16:creationId xmlns:a16="http://schemas.microsoft.com/office/drawing/2014/main" id="{0626122E-CEE5-41A0-A4F2-EC83CA7E20A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299" name="Isosceles Triangle 2298">
          <a:extLst>
            <a:ext uri="{FF2B5EF4-FFF2-40B4-BE49-F238E27FC236}">
              <a16:creationId xmlns:a16="http://schemas.microsoft.com/office/drawing/2014/main" id="{3AE5B863-A0BA-415D-BB72-A74E4B4641B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00" name="Isosceles Triangle 2299">
          <a:extLst>
            <a:ext uri="{FF2B5EF4-FFF2-40B4-BE49-F238E27FC236}">
              <a16:creationId xmlns:a16="http://schemas.microsoft.com/office/drawing/2014/main" id="{6FE60177-55A7-4857-8D98-BFDCCE944B4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01" name="Isosceles Triangle 2300">
          <a:extLst>
            <a:ext uri="{FF2B5EF4-FFF2-40B4-BE49-F238E27FC236}">
              <a16:creationId xmlns:a16="http://schemas.microsoft.com/office/drawing/2014/main" id="{B80C1308-A5D8-41D7-9BD7-20A28BFE570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02" name="Isosceles Triangle 2301">
          <a:extLst>
            <a:ext uri="{FF2B5EF4-FFF2-40B4-BE49-F238E27FC236}">
              <a16:creationId xmlns:a16="http://schemas.microsoft.com/office/drawing/2014/main" id="{E89D1671-36F1-4DCF-99E3-E2A6713434E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03" name="Isosceles Triangle 2302">
          <a:extLst>
            <a:ext uri="{FF2B5EF4-FFF2-40B4-BE49-F238E27FC236}">
              <a16:creationId xmlns:a16="http://schemas.microsoft.com/office/drawing/2014/main" id="{7EAABB4D-2DDC-4D84-BE2F-D9C07B89972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04" name="Isosceles Triangle 2303">
          <a:extLst>
            <a:ext uri="{FF2B5EF4-FFF2-40B4-BE49-F238E27FC236}">
              <a16:creationId xmlns:a16="http://schemas.microsoft.com/office/drawing/2014/main" id="{46799E41-5D6E-4D8E-A7F4-12916120E31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05" name="Isosceles Triangle 2304">
          <a:extLst>
            <a:ext uri="{FF2B5EF4-FFF2-40B4-BE49-F238E27FC236}">
              <a16:creationId xmlns:a16="http://schemas.microsoft.com/office/drawing/2014/main" id="{9AA0CED6-8593-40CC-8A24-53A391E3BB4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06" name="Isosceles Triangle 2305">
          <a:extLst>
            <a:ext uri="{FF2B5EF4-FFF2-40B4-BE49-F238E27FC236}">
              <a16:creationId xmlns:a16="http://schemas.microsoft.com/office/drawing/2014/main" id="{4B440DA4-EB1E-4385-83C8-F15E7081DD4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07" name="Isosceles Triangle 2306">
          <a:extLst>
            <a:ext uri="{FF2B5EF4-FFF2-40B4-BE49-F238E27FC236}">
              <a16:creationId xmlns:a16="http://schemas.microsoft.com/office/drawing/2014/main" id="{F474B167-44A3-4B74-B66A-27C8CB24323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08" name="Isosceles Triangle 2307">
          <a:extLst>
            <a:ext uri="{FF2B5EF4-FFF2-40B4-BE49-F238E27FC236}">
              <a16:creationId xmlns:a16="http://schemas.microsoft.com/office/drawing/2014/main" id="{EDBE5821-7143-4BAA-B248-674EDE7644B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09" name="Isosceles Triangle 2308">
          <a:extLst>
            <a:ext uri="{FF2B5EF4-FFF2-40B4-BE49-F238E27FC236}">
              <a16:creationId xmlns:a16="http://schemas.microsoft.com/office/drawing/2014/main" id="{7DAAD128-5357-4EC3-AB46-8F9A0E284D3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10" name="Isosceles Triangle 2309">
          <a:extLst>
            <a:ext uri="{FF2B5EF4-FFF2-40B4-BE49-F238E27FC236}">
              <a16:creationId xmlns:a16="http://schemas.microsoft.com/office/drawing/2014/main" id="{A4AFF571-FC4B-42BD-84B6-711B64A09ED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11" name="Isosceles Triangle 2310">
          <a:extLst>
            <a:ext uri="{FF2B5EF4-FFF2-40B4-BE49-F238E27FC236}">
              <a16:creationId xmlns:a16="http://schemas.microsoft.com/office/drawing/2014/main" id="{A6664444-ACCD-4DE3-9D86-0CCBF35C156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12" name="Isosceles Triangle 2311">
          <a:extLst>
            <a:ext uri="{FF2B5EF4-FFF2-40B4-BE49-F238E27FC236}">
              <a16:creationId xmlns:a16="http://schemas.microsoft.com/office/drawing/2014/main" id="{6041B025-7E5D-414A-BD0C-8AD322921DE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13" name="Isosceles Triangle 2312">
          <a:extLst>
            <a:ext uri="{FF2B5EF4-FFF2-40B4-BE49-F238E27FC236}">
              <a16:creationId xmlns:a16="http://schemas.microsoft.com/office/drawing/2014/main" id="{E5D21D84-C1A7-46A2-8DC4-A90B7910C46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14" name="Isosceles Triangle 2313">
          <a:extLst>
            <a:ext uri="{FF2B5EF4-FFF2-40B4-BE49-F238E27FC236}">
              <a16:creationId xmlns:a16="http://schemas.microsoft.com/office/drawing/2014/main" id="{77F542D9-B905-497D-83AB-016B9F3AFC7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15" name="Isosceles Triangle 2314">
          <a:extLst>
            <a:ext uri="{FF2B5EF4-FFF2-40B4-BE49-F238E27FC236}">
              <a16:creationId xmlns:a16="http://schemas.microsoft.com/office/drawing/2014/main" id="{25BECEEF-33FC-4036-B683-CF9781D6667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16" name="Isosceles Triangle 2315">
          <a:extLst>
            <a:ext uri="{FF2B5EF4-FFF2-40B4-BE49-F238E27FC236}">
              <a16:creationId xmlns:a16="http://schemas.microsoft.com/office/drawing/2014/main" id="{22F7D009-F8F4-4843-B790-177679C68C6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17" name="Isosceles Triangle 2316">
          <a:extLst>
            <a:ext uri="{FF2B5EF4-FFF2-40B4-BE49-F238E27FC236}">
              <a16:creationId xmlns:a16="http://schemas.microsoft.com/office/drawing/2014/main" id="{9E90C1EF-030F-4D1F-8512-5ECBFF10571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18" name="Isosceles Triangle 2317">
          <a:extLst>
            <a:ext uri="{FF2B5EF4-FFF2-40B4-BE49-F238E27FC236}">
              <a16:creationId xmlns:a16="http://schemas.microsoft.com/office/drawing/2014/main" id="{D9589A2E-DFFD-41DB-B417-07B66B16921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19" name="Isosceles Triangle 2318">
          <a:extLst>
            <a:ext uri="{FF2B5EF4-FFF2-40B4-BE49-F238E27FC236}">
              <a16:creationId xmlns:a16="http://schemas.microsoft.com/office/drawing/2014/main" id="{5533E002-E489-42D6-B72C-CFEB09B6F5A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20" name="Isosceles Triangle 2319">
          <a:extLst>
            <a:ext uri="{FF2B5EF4-FFF2-40B4-BE49-F238E27FC236}">
              <a16:creationId xmlns:a16="http://schemas.microsoft.com/office/drawing/2014/main" id="{7A50A7F7-E8C3-49FE-83D4-DCF32252649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21" name="Isosceles Triangle 2320">
          <a:extLst>
            <a:ext uri="{FF2B5EF4-FFF2-40B4-BE49-F238E27FC236}">
              <a16:creationId xmlns:a16="http://schemas.microsoft.com/office/drawing/2014/main" id="{2E6B50F2-933D-4A40-9B74-D9AB184D9B4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22" name="Isosceles Triangle 2321">
          <a:extLst>
            <a:ext uri="{FF2B5EF4-FFF2-40B4-BE49-F238E27FC236}">
              <a16:creationId xmlns:a16="http://schemas.microsoft.com/office/drawing/2014/main" id="{73621352-09E1-4F15-B864-E2BC166B079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23" name="Isosceles Triangle 2322">
          <a:extLst>
            <a:ext uri="{FF2B5EF4-FFF2-40B4-BE49-F238E27FC236}">
              <a16:creationId xmlns:a16="http://schemas.microsoft.com/office/drawing/2014/main" id="{6703C56C-8E83-4BF6-8656-FBA1B247671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24" name="Isosceles Triangle 2323">
          <a:extLst>
            <a:ext uri="{FF2B5EF4-FFF2-40B4-BE49-F238E27FC236}">
              <a16:creationId xmlns:a16="http://schemas.microsoft.com/office/drawing/2014/main" id="{94B07E66-D457-4385-BA67-B64D5C5F0D1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25" name="Isosceles Triangle 2324">
          <a:extLst>
            <a:ext uri="{FF2B5EF4-FFF2-40B4-BE49-F238E27FC236}">
              <a16:creationId xmlns:a16="http://schemas.microsoft.com/office/drawing/2014/main" id="{C14496E5-01CE-4C75-AF8B-D6E8E3933E9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26" name="Isosceles Triangle 2325">
          <a:extLst>
            <a:ext uri="{FF2B5EF4-FFF2-40B4-BE49-F238E27FC236}">
              <a16:creationId xmlns:a16="http://schemas.microsoft.com/office/drawing/2014/main" id="{B5ED9F5D-26BD-4C9D-A346-94A64FCBD47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27" name="Isosceles Triangle 2326">
          <a:extLst>
            <a:ext uri="{FF2B5EF4-FFF2-40B4-BE49-F238E27FC236}">
              <a16:creationId xmlns:a16="http://schemas.microsoft.com/office/drawing/2014/main" id="{8FDD27A3-14A0-4750-9612-39E7608972B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28" name="Isosceles Triangle 2327">
          <a:extLst>
            <a:ext uri="{FF2B5EF4-FFF2-40B4-BE49-F238E27FC236}">
              <a16:creationId xmlns:a16="http://schemas.microsoft.com/office/drawing/2014/main" id="{050ABF8D-1957-4700-ADD0-F383D53B96C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29" name="Isosceles Triangle 2328">
          <a:extLst>
            <a:ext uri="{FF2B5EF4-FFF2-40B4-BE49-F238E27FC236}">
              <a16:creationId xmlns:a16="http://schemas.microsoft.com/office/drawing/2014/main" id="{27F5A456-DB08-4B91-8ECC-4D66A1CCEA4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30" name="Isosceles Triangle 2329">
          <a:extLst>
            <a:ext uri="{FF2B5EF4-FFF2-40B4-BE49-F238E27FC236}">
              <a16:creationId xmlns:a16="http://schemas.microsoft.com/office/drawing/2014/main" id="{80E7F10A-E2BD-4457-AF90-F838DE06789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31" name="Isosceles Triangle 2330">
          <a:extLst>
            <a:ext uri="{FF2B5EF4-FFF2-40B4-BE49-F238E27FC236}">
              <a16:creationId xmlns:a16="http://schemas.microsoft.com/office/drawing/2014/main" id="{6C323808-325C-40D4-B3CC-2D03945D11E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32" name="Isosceles Triangle 2331">
          <a:extLst>
            <a:ext uri="{FF2B5EF4-FFF2-40B4-BE49-F238E27FC236}">
              <a16:creationId xmlns:a16="http://schemas.microsoft.com/office/drawing/2014/main" id="{038D2874-1730-4E0C-8A4B-2330D750D89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33" name="Isosceles Triangle 2332">
          <a:extLst>
            <a:ext uri="{FF2B5EF4-FFF2-40B4-BE49-F238E27FC236}">
              <a16:creationId xmlns:a16="http://schemas.microsoft.com/office/drawing/2014/main" id="{E37951E2-B1EF-466C-B5EE-17488D44F7C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34" name="Isosceles Triangle 2333">
          <a:extLst>
            <a:ext uri="{FF2B5EF4-FFF2-40B4-BE49-F238E27FC236}">
              <a16:creationId xmlns:a16="http://schemas.microsoft.com/office/drawing/2014/main" id="{71E9F59E-9DDB-4598-ABFA-5E3D66345DA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35" name="Isosceles Triangle 2334">
          <a:extLst>
            <a:ext uri="{FF2B5EF4-FFF2-40B4-BE49-F238E27FC236}">
              <a16:creationId xmlns:a16="http://schemas.microsoft.com/office/drawing/2014/main" id="{6D2452DE-65E3-4299-9622-B691D6C0C95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36" name="Isosceles Triangle 2335">
          <a:extLst>
            <a:ext uri="{FF2B5EF4-FFF2-40B4-BE49-F238E27FC236}">
              <a16:creationId xmlns:a16="http://schemas.microsoft.com/office/drawing/2014/main" id="{158389F1-896B-44C9-A819-E7646184445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37" name="Isosceles Triangle 2336">
          <a:extLst>
            <a:ext uri="{FF2B5EF4-FFF2-40B4-BE49-F238E27FC236}">
              <a16:creationId xmlns:a16="http://schemas.microsoft.com/office/drawing/2014/main" id="{C539B131-68A7-477D-9F1E-BE33003B9A3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38" name="Isosceles Triangle 2337">
          <a:extLst>
            <a:ext uri="{FF2B5EF4-FFF2-40B4-BE49-F238E27FC236}">
              <a16:creationId xmlns:a16="http://schemas.microsoft.com/office/drawing/2014/main" id="{BCA2028B-8812-4F53-8E7B-9F1B17D3A35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39" name="Isosceles Triangle 2338">
          <a:extLst>
            <a:ext uri="{FF2B5EF4-FFF2-40B4-BE49-F238E27FC236}">
              <a16:creationId xmlns:a16="http://schemas.microsoft.com/office/drawing/2014/main" id="{6F7BE893-7A6B-433C-AEA7-B5F61EA9B68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40" name="Isosceles Triangle 2339">
          <a:extLst>
            <a:ext uri="{FF2B5EF4-FFF2-40B4-BE49-F238E27FC236}">
              <a16:creationId xmlns:a16="http://schemas.microsoft.com/office/drawing/2014/main" id="{DBC5AE70-F8D1-4BAD-A3C1-6D5D7D95912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41" name="Isosceles Triangle 2340">
          <a:extLst>
            <a:ext uri="{FF2B5EF4-FFF2-40B4-BE49-F238E27FC236}">
              <a16:creationId xmlns:a16="http://schemas.microsoft.com/office/drawing/2014/main" id="{1B2F1EAD-3E2B-4509-B4E5-1456623F6AA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42" name="Isosceles Triangle 2341">
          <a:extLst>
            <a:ext uri="{FF2B5EF4-FFF2-40B4-BE49-F238E27FC236}">
              <a16:creationId xmlns:a16="http://schemas.microsoft.com/office/drawing/2014/main" id="{6BA6B95C-1BB9-4DC7-B83A-25BC62EC822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43" name="Isosceles Triangle 2342">
          <a:extLst>
            <a:ext uri="{FF2B5EF4-FFF2-40B4-BE49-F238E27FC236}">
              <a16:creationId xmlns:a16="http://schemas.microsoft.com/office/drawing/2014/main" id="{19330566-BCA3-424C-9637-2330FE4A61E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44" name="Isosceles Triangle 2343">
          <a:extLst>
            <a:ext uri="{FF2B5EF4-FFF2-40B4-BE49-F238E27FC236}">
              <a16:creationId xmlns:a16="http://schemas.microsoft.com/office/drawing/2014/main" id="{9F556C8F-1B23-46BA-BE11-C930C795486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45" name="Isosceles Triangle 2344">
          <a:extLst>
            <a:ext uri="{FF2B5EF4-FFF2-40B4-BE49-F238E27FC236}">
              <a16:creationId xmlns:a16="http://schemas.microsoft.com/office/drawing/2014/main" id="{78956147-6C56-44A9-B01F-5228B205789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46" name="Isosceles Triangle 2345">
          <a:extLst>
            <a:ext uri="{FF2B5EF4-FFF2-40B4-BE49-F238E27FC236}">
              <a16:creationId xmlns:a16="http://schemas.microsoft.com/office/drawing/2014/main" id="{AB763E18-3907-4BA3-BB57-55817D3D7E1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47" name="Isosceles Triangle 2346">
          <a:extLst>
            <a:ext uri="{FF2B5EF4-FFF2-40B4-BE49-F238E27FC236}">
              <a16:creationId xmlns:a16="http://schemas.microsoft.com/office/drawing/2014/main" id="{6632AFB2-8FE3-48FD-9CF9-A28B820149B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48" name="Isosceles Triangle 2347">
          <a:extLst>
            <a:ext uri="{FF2B5EF4-FFF2-40B4-BE49-F238E27FC236}">
              <a16:creationId xmlns:a16="http://schemas.microsoft.com/office/drawing/2014/main" id="{B3E33999-9D82-4A35-827B-3A9D5583AD7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49" name="Isosceles Triangle 2348">
          <a:extLst>
            <a:ext uri="{FF2B5EF4-FFF2-40B4-BE49-F238E27FC236}">
              <a16:creationId xmlns:a16="http://schemas.microsoft.com/office/drawing/2014/main" id="{E56A5394-F889-48E8-8FAF-995B1B30753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50" name="Isosceles Triangle 2349">
          <a:extLst>
            <a:ext uri="{FF2B5EF4-FFF2-40B4-BE49-F238E27FC236}">
              <a16:creationId xmlns:a16="http://schemas.microsoft.com/office/drawing/2014/main" id="{252FD28E-C408-4602-953B-191AD9A4CAE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51" name="Isosceles Triangle 2350">
          <a:extLst>
            <a:ext uri="{FF2B5EF4-FFF2-40B4-BE49-F238E27FC236}">
              <a16:creationId xmlns:a16="http://schemas.microsoft.com/office/drawing/2014/main" id="{E1090B05-5A5E-48B5-ABC4-522E0D2C290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52" name="Isosceles Triangle 2351">
          <a:extLst>
            <a:ext uri="{FF2B5EF4-FFF2-40B4-BE49-F238E27FC236}">
              <a16:creationId xmlns:a16="http://schemas.microsoft.com/office/drawing/2014/main" id="{BC83E25D-E254-4772-9D73-EE59D924CC2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53" name="Isosceles Triangle 2352">
          <a:extLst>
            <a:ext uri="{FF2B5EF4-FFF2-40B4-BE49-F238E27FC236}">
              <a16:creationId xmlns:a16="http://schemas.microsoft.com/office/drawing/2014/main" id="{5BA99947-2079-4149-9F4F-BD0AB0B45A6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54" name="Isosceles Triangle 2353">
          <a:extLst>
            <a:ext uri="{FF2B5EF4-FFF2-40B4-BE49-F238E27FC236}">
              <a16:creationId xmlns:a16="http://schemas.microsoft.com/office/drawing/2014/main" id="{3473F609-617F-4398-BE42-913AD72063D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55" name="Isosceles Triangle 2354">
          <a:extLst>
            <a:ext uri="{FF2B5EF4-FFF2-40B4-BE49-F238E27FC236}">
              <a16:creationId xmlns:a16="http://schemas.microsoft.com/office/drawing/2014/main" id="{E2C9565F-D31A-4F0E-9191-383CF146FB7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56" name="Isosceles Triangle 2355">
          <a:extLst>
            <a:ext uri="{FF2B5EF4-FFF2-40B4-BE49-F238E27FC236}">
              <a16:creationId xmlns:a16="http://schemas.microsoft.com/office/drawing/2014/main" id="{A80EBC73-25E5-4337-B775-A480C356427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57" name="Isosceles Triangle 2356">
          <a:extLst>
            <a:ext uri="{FF2B5EF4-FFF2-40B4-BE49-F238E27FC236}">
              <a16:creationId xmlns:a16="http://schemas.microsoft.com/office/drawing/2014/main" id="{273629F2-C12A-4146-98C6-E97DA1E7F2F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58" name="Isosceles Triangle 2357">
          <a:extLst>
            <a:ext uri="{FF2B5EF4-FFF2-40B4-BE49-F238E27FC236}">
              <a16:creationId xmlns:a16="http://schemas.microsoft.com/office/drawing/2014/main" id="{92580E35-B724-482D-8447-D7239841AAB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59" name="Isosceles Triangle 2358">
          <a:extLst>
            <a:ext uri="{FF2B5EF4-FFF2-40B4-BE49-F238E27FC236}">
              <a16:creationId xmlns:a16="http://schemas.microsoft.com/office/drawing/2014/main" id="{CFC16F96-970A-4CEE-A0CA-2FBAB365863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60" name="Isosceles Triangle 2359">
          <a:extLst>
            <a:ext uri="{FF2B5EF4-FFF2-40B4-BE49-F238E27FC236}">
              <a16:creationId xmlns:a16="http://schemas.microsoft.com/office/drawing/2014/main" id="{693002FE-CAEA-4295-92C8-C21076F6945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61" name="Isosceles Triangle 2360">
          <a:extLst>
            <a:ext uri="{FF2B5EF4-FFF2-40B4-BE49-F238E27FC236}">
              <a16:creationId xmlns:a16="http://schemas.microsoft.com/office/drawing/2014/main" id="{5A224362-8B9F-4EED-8C62-323B9E5E4F7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62" name="Isosceles Triangle 2361">
          <a:extLst>
            <a:ext uri="{FF2B5EF4-FFF2-40B4-BE49-F238E27FC236}">
              <a16:creationId xmlns:a16="http://schemas.microsoft.com/office/drawing/2014/main" id="{83DB1CC4-79E7-4576-9E4F-21B3DFD1335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63" name="Isosceles Triangle 2362">
          <a:extLst>
            <a:ext uri="{FF2B5EF4-FFF2-40B4-BE49-F238E27FC236}">
              <a16:creationId xmlns:a16="http://schemas.microsoft.com/office/drawing/2014/main" id="{25925089-1F80-4FF2-BB77-95C96028CB6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64" name="Isosceles Triangle 2363">
          <a:extLst>
            <a:ext uri="{FF2B5EF4-FFF2-40B4-BE49-F238E27FC236}">
              <a16:creationId xmlns:a16="http://schemas.microsoft.com/office/drawing/2014/main" id="{17261CCF-55C8-4E55-8CDE-39CC2E8F086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65" name="Isosceles Triangle 2364">
          <a:extLst>
            <a:ext uri="{FF2B5EF4-FFF2-40B4-BE49-F238E27FC236}">
              <a16:creationId xmlns:a16="http://schemas.microsoft.com/office/drawing/2014/main" id="{02D85A99-C862-4D4A-993C-10CC8B88243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66" name="Isosceles Triangle 2365">
          <a:extLst>
            <a:ext uri="{FF2B5EF4-FFF2-40B4-BE49-F238E27FC236}">
              <a16:creationId xmlns:a16="http://schemas.microsoft.com/office/drawing/2014/main" id="{90ECF761-60B7-4AE3-BAB9-B88B93A5407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67" name="Isosceles Triangle 2366">
          <a:extLst>
            <a:ext uri="{FF2B5EF4-FFF2-40B4-BE49-F238E27FC236}">
              <a16:creationId xmlns:a16="http://schemas.microsoft.com/office/drawing/2014/main" id="{C8D1F6AF-AE7F-4E7A-83D7-5EA44612B40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68" name="Isosceles Triangle 2367">
          <a:extLst>
            <a:ext uri="{FF2B5EF4-FFF2-40B4-BE49-F238E27FC236}">
              <a16:creationId xmlns:a16="http://schemas.microsoft.com/office/drawing/2014/main" id="{F600FE5B-3945-4D8C-B0A9-9C4D9194326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69" name="Isosceles Triangle 2368">
          <a:extLst>
            <a:ext uri="{FF2B5EF4-FFF2-40B4-BE49-F238E27FC236}">
              <a16:creationId xmlns:a16="http://schemas.microsoft.com/office/drawing/2014/main" id="{BB54724E-3ED2-4A71-B50F-9A241E9608A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70" name="Isosceles Triangle 2369">
          <a:extLst>
            <a:ext uri="{FF2B5EF4-FFF2-40B4-BE49-F238E27FC236}">
              <a16:creationId xmlns:a16="http://schemas.microsoft.com/office/drawing/2014/main" id="{2BB4E0A2-70BA-47E5-A170-1D0225650FF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71" name="Isosceles Triangle 2370">
          <a:extLst>
            <a:ext uri="{FF2B5EF4-FFF2-40B4-BE49-F238E27FC236}">
              <a16:creationId xmlns:a16="http://schemas.microsoft.com/office/drawing/2014/main" id="{95E708AC-1D40-498B-9FB4-593C3B48E77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72" name="Isosceles Triangle 2371">
          <a:extLst>
            <a:ext uri="{FF2B5EF4-FFF2-40B4-BE49-F238E27FC236}">
              <a16:creationId xmlns:a16="http://schemas.microsoft.com/office/drawing/2014/main" id="{A4ABEBAB-8EF8-42ED-984B-3F188AF73E4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73" name="Isosceles Triangle 2372">
          <a:extLst>
            <a:ext uri="{FF2B5EF4-FFF2-40B4-BE49-F238E27FC236}">
              <a16:creationId xmlns:a16="http://schemas.microsoft.com/office/drawing/2014/main" id="{6008901A-D64A-4C38-9426-95D7E2E7EB5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74" name="Isosceles Triangle 2373">
          <a:extLst>
            <a:ext uri="{FF2B5EF4-FFF2-40B4-BE49-F238E27FC236}">
              <a16:creationId xmlns:a16="http://schemas.microsoft.com/office/drawing/2014/main" id="{D74FA3C7-5306-41AF-8BB1-D09EEEA39AF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75" name="Isosceles Triangle 2374">
          <a:extLst>
            <a:ext uri="{FF2B5EF4-FFF2-40B4-BE49-F238E27FC236}">
              <a16:creationId xmlns:a16="http://schemas.microsoft.com/office/drawing/2014/main" id="{0389FC0D-D117-44BA-9B81-B59804A3877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76" name="Isosceles Triangle 2375">
          <a:extLst>
            <a:ext uri="{FF2B5EF4-FFF2-40B4-BE49-F238E27FC236}">
              <a16:creationId xmlns:a16="http://schemas.microsoft.com/office/drawing/2014/main" id="{41EC237C-A9F0-4D34-95DC-37185862E3D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77" name="Isosceles Triangle 2376">
          <a:extLst>
            <a:ext uri="{FF2B5EF4-FFF2-40B4-BE49-F238E27FC236}">
              <a16:creationId xmlns:a16="http://schemas.microsoft.com/office/drawing/2014/main" id="{925AD434-A6AB-41E5-A42C-0D4A7640889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78" name="Isosceles Triangle 2377">
          <a:extLst>
            <a:ext uri="{FF2B5EF4-FFF2-40B4-BE49-F238E27FC236}">
              <a16:creationId xmlns:a16="http://schemas.microsoft.com/office/drawing/2014/main" id="{394A8F48-6A02-45C8-8661-0D3BC1AE453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79" name="Isosceles Triangle 2378">
          <a:extLst>
            <a:ext uri="{FF2B5EF4-FFF2-40B4-BE49-F238E27FC236}">
              <a16:creationId xmlns:a16="http://schemas.microsoft.com/office/drawing/2014/main" id="{C77B6B3F-A70D-44EF-B90C-C0D63BB2DA3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80" name="Isosceles Triangle 2379">
          <a:extLst>
            <a:ext uri="{FF2B5EF4-FFF2-40B4-BE49-F238E27FC236}">
              <a16:creationId xmlns:a16="http://schemas.microsoft.com/office/drawing/2014/main" id="{17817AE2-7203-4F18-8497-3471B43BCEF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81" name="Isosceles Triangle 2380">
          <a:extLst>
            <a:ext uri="{FF2B5EF4-FFF2-40B4-BE49-F238E27FC236}">
              <a16:creationId xmlns:a16="http://schemas.microsoft.com/office/drawing/2014/main" id="{09C9B275-3C6D-4C82-ABC9-94E5C0F60A0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82" name="Isosceles Triangle 2381">
          <a:extLst>
            <a:ext uri="{FF2B5EF4-FFF2-40B4-BE49-F238E27FC236}">
              <a16:creationId xmlns:a16="http://schemas.microsoft.com/office/drawing/2014/main" id="{5A57812B-C52C-41D7-9CB2-C98DBB95FE4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83" name="Isosceles Triangle 2382">
          <a:extLst>
            <a:ext uri="{FF2B5EF4-FFF2-40B4-BE49-F238E27FC236}">
              <a16:creationId xmlns:a16="http://schemas.microsoft.com/office/drawing/2014/main" id="{BD17AD0F-6AC5-4E63-B986-0D9464C19F1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84" name="Isosceles Triangle 2383">
          <a:extLst>
            <a:ext uri="{FF2B5EF4-FFF2-40B4-BE49-F238E27FC236}">
              <a16:creationId xmlns:a16="http://schemas.microsoft.com/office/drawing/2014/main" id="{1147E156-5D51-489C-B30C-76A253043AC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85" name="Isosceles Triangle 2384">
          <a:extLst>
            <a:ext uri="{FF2B5EF4-FFF2-40B4-BE49-F238E27FC236}">
              <a16:creationId xmlns:a16="http://schemas.microsoft.com/office/drawing/2014/main" id="{72F375AF-8765-4F27-8FAF-D7D34B627B0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86" name="Isosceles Triangle 2385">
          <a:extLst>
            <a:ext uri="{FF2B5EF4-FFF2-40B4-BE49-F238E27FC236}">
              <a16:creationId xmlns:a16="http://schemas.microsoft.com/office/drawing/2014/main" id="{6C7E9A9C-426D-4C50-8F94-A8D28A07B3F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87" name="Isosceles Triangle 2386">
          <a:extLst>
            <a:ext uri="{FF2B5EF4-FFF2-40B4-BE49-F238E27FC236}">
              <a16:creationId xmlns:a16="http://schemas.microsoft.com/office/drawing/2014/main" id="{C3CD8505-2EAD-4BCC-97C8-6B18F92BF8C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88" name="Isosceles Triangle 2387">
          <a:extLst>
            <a:ext uri="{FF2B5EF4-FFF2-40B4-BE49-F238E27FC236}">
              <a16:creationId xmlns:a16="http://schemas.microsoft.com/office/drawing/2014/main" id="{21ECD6DF-C69E-4E71-8C0B-E35DD67224D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89" name="Isosceles Triangle 2388">
          <a:extLst>
            <a:ext uri="{FF2B5EF4-FFF2-40B4-BE49-F238E27FC236}">
              <a16:creationId xmlns:a16="http://schemas.microsoft.com/office/drawing/2014/main" id="{7265D4DD-DE02-434F-971C-A7C4C14A834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90" name="Isosceles Triangle 2389">
          <a:extLst>
            <a:ext uri="{FF2B5EF4-FFF2-40B4-BE49-F238E27FC236}">
              <a16:creationId xmlns:a16="http://schemas.microsoft.com/office/drawing/2014/main" id="{7DEDDDBF-AAA7-4B55-A56F-5DCF9B568D9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91" name="Isosceles Triangle 2390">
          <a:extLst>
            <a:ext uri="{FF2B5EF4-FFF2-40B4-BE49-F238E27FC236}">
              <a16:creationId xmlns:a16="http://schemas.microsoft.com/office/drawing/2014/main" id="{01864DAA-D5F4-40D8-95B8-7D0D5C33831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92" name="Isosceles Triangle 2391">
          <a:extLst>
            <a:ext uri="{FF2B5EF4-FFF2-40B4-BE49-F238E27FC236}">
              <a16:creationId xmlns:a16="http://schemas.microsoft.com/office/drawing/2014/main" id="{02126D31-1ACA-4724-9514-E769B0D3E8D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93" name="Isosceles Triangle 2392">
          <a:extLst>
            <a:ext uri="{FF2B5EF4-FFF2-40B4-BE49-F238E27FC236}">
              <a16:creationId xmlns:a16="http://schemas.microsoft.com/office/drawing/2014/main" id="{4F2E8364-4D8D-41A0-9FC1-D1F302BDB9A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94" name="Isosceles Triangle 2393">
          <a:extLst>
            <a:ext uri="{FF2B5EF4-FFF2-40B4-BE49-F238E27FC236}">
              <a16:creationId xmlns:a16="http://schemas.microsoft.com/office/drawing/2014/main" id="{33BEAC8C-AB49-4AA1-A1B5-1F636058F0B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95" name="Isosceles Triangle 2394">
          <a:extLst>
            <a:ext uri="{FF2B5EF4-FFF2-40B4-BE49-F238E27FC236}">
              <a16:creationId xmlns:a16="http://schemas.microsoft.com/office/drawing/2014/main" id="{1D4734DB-DA96-4CEF-9341-BFD9514CECF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96" name="Isosceles Triangle 2395">
          <a:extLst>
            <a:ext uri="{FF2B5EF4-FFF2-40B4-BE49-F238E27FC236}">
              <a16:creationId xmlns:a16="http://schemas.microsoft.com/office/drawing/2014/main" id="{D233B247-833F-4F6E-AEA8-C8DC06F3359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97" name="Isosceles Triangle 2396">
          <a:extLst>
            <a:ext uri="{FF2B5EF4-FFF2-40B4-BE49-F238E27FC236}">
              <a16:creationId xmlns:a16="http://schemas.microsoft.com/office/drawing/2014/main" id="{1196FDE9-5677-4FB8-A7EC-355132351DC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98" name="Isosceles Triangle 2397">
          <a:extLst>
            <a:ext uri="{FF2B5EF4-FFF2-40B4-BE49-F238E27FC236}">
              <a16:creationId xmlns:a16="http://schemas.microsoft.com/office/drawing/2014/main" id="{36186C3C-596E-4A53-ADDF-B9AEF5610AF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399" name="Isosceles Triangle 2398">
          <a:extLst>
            <a:ext uri="{FF2B5EF4-FFF2-40B4-BE49-F238E27FC236}">
              <a16:creationId xmlns:a16="http://schemas.microsoft.com/office/drawing/2014/main" id="{0D9BECF7-5C82-4F48-9D35-B551286E269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400" name="Isosceles Triangle 2399">
          <a:extLst>
            <a:ext uri="{FF2B5EF4-FFF2-40B4-BE49-F238E27FC236}">
              <a16:creationId xmlns:a16="http://schemas.microsoft.com/office/drawing/2014/main" id="{69AED384-024F-496F-966F-2A778091B0B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401" name="Isosceles Triangle 2400">
          <a:extLst>
            <a:ext uri="{FF2B5EF4-FFF2-40B4-BE49-F238E27FC236}">
              <a16:creationId xmlns:a16="http://schemas.microsoft.com/office/drawing/2014/main" id="{5715CC42-D9BF-419A-85EE-DB5ADCB453F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402" name="Isosceles Triangle 2401">
          <a:extLst>
            <a:ext uri="{FF2B5EF4-FFF2-40B4-BE49-F238E27FC236}">
              <a16:creationId xmlns:a16="http://schemas.microsoft.com/office/drawing/2014/main" id="{8BF73CF7-4D22-49A6-A001-1CE6CD8F2C9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403" name="Isosceles Triangle 2402">
          <a:extLst>
            <a:ext uri="{FF2B5EF4-FFF2-40B4-BE49-F238E27FC236}">
              <a16:creationId xmlns:a16="http://schemas.microsoft.com/office/drawing/2014/main" id="{0B15CF4F-FFCB-41F2-A836-B0121849779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404" name="Isosceles Triangle 2403">
          <a:extLst>
            <a:ext uri="{FF2B5EF4-FFF2-40B4-BE49-F238E27FC236}">
              <a16:creationId xmlns:a16="http://schemas.microsoft.com/office/drawing/2014/main" id="{A3E9700A-8E7D-46B3-AC13-20F1487873A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2405" name="Isosceles Triangle 2404">
          <a:extLst>
            <a:ext uri="{FF2B5EF4-FFF2-40B4-BE49-F238E27FC236}">
              <a16:creationId xmlns:a16="http://schemas.microsoft.com/office/drawing/2014/main" id="{152EED9A-5FBC-4132-9E4B-A5F90259F9A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06" name="Isosceles Triangle 2405">
          <a:extLst>
            <a:ext uri="{FF2B5EF4-FFF2-40B4-BE49-F238E27FC236}">
              <a16:creationId xmlns:a16="http://schemas.microsoft.com/office/drawing/2014/main" id="{78F45E8F-CC16-44E9-9DED-39B3D092665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07" name="Isosceles Triangle 2406">
          <a:extLst>
            <a:ext uri="{FF2B5EF4-FFF2-40B4-BE49-F238E27FC236}">
              <a16:creationId xmlns:a16="http://schemas.microsoft.com/office/drawing/2014/main" id="{A90F653B-9553-4020-A542-6D64FA4A9EF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08" name="Isosceles Triangle 2407">
          <a:extLst>
            <a:ext uri="{FF2B5EF4-FFF2-40B4-BE49-F238E27FC236}">
              <a16:creationId xmlns:a16="http://schemas.microsoft.com/office/drawing/2014/main" id="{D7816A7E-7836-4F01-B524-089FAB4FCC7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09" name="Isosceles Triangle 2408">
          <a:extLst>
            <a:ext uri="{FF2B5EF4-FFF2-40B4-BE49-F238E27FC236}">
              <a16:creationId xmlns:a16="http://schemas.microsoft.com/office/drawing/2014/main" id="{FC24F048-0CA7-4A2B-8507-03F78E8F3F9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10" name="Isosceles Triangle 2409">
          <a:extLst>
            <a:ext uri="{FF2B5EF4-FFF2-40B4-BE49-F238E27FC236}">
              <a16:creationId xmlns:a16="http://schemas.microsoft.com/office/drawing/2014/main" id="{DFFDE0DB-93CA-4D94-8185-69820D8958B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11" name="Isosceles Triangle 2410">
          <a:extLst>
            <a:ext uri="{FF2B5EF4-FFF2-40B4-BE49-F238E27FC236}">
              <a16:creationId xmlns:a16="http://schemas.microsoft.com/office/drawing/2014/main" id="{AA76B108-8510-4252-A164-EAE77C93CB0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12" name="Isosceles Triangle 2411">
          <a:extLst>
            <a:ext uri="{FF2B5EF4-FFF2-40B4-BE49-F238E27FC236}">
              <a16:creationId xmlns:a16="http://schemas.microsoft.com/office/drawing/2014/main" id="{0AD4CBB4-58E8-41D8-8DA1-2E58D06EE38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13" name="Isosceles Triangle 2412">
          <a:extLst>
            <a:ext uri="{FF2B5EF4-FFF2-40B4-BE49-F238E27FC236}">
              <a16:creationId xmlns:a16="http://schemas.microsoft.com/office/drawing/2014/main" id="{B5E01CBB-5757-419D-87FD-7D9BC7A8D92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14" name="Isosceles Triangle 2413">
          <a:extLst>
            <a:ext uri="{FF2B5EF4-FFF2-40B4-BE49-F238E27FC236}">
              <a16:creationId xmlns:a16="http://schemas.microsoft.com/office/drawing/2014/main" id="{CE52AB62-29A1-46AB-B3DF-A4A83235F62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15" name="Isosceles Triangle 2414">
          <a:extLst>
            <a:ext uri="{FF2B5EF4-FFF2-40B4-BE49-F238E27FC236}">
              <a16:creationId xmlns:a16="http://schemas.microsoft.com/office/drawing/2014/main" id="{01CA85D1-6C41-4729-BF0E-85193EF3B1E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16" name="Isosceles Triangle 2415">
          <a:extLst>
            <a:ext uri="{FF2B5EF4-FFF2-40B4-BE49-F238E27FC236}">
              <a16:creationId xmlns:a16="http://schemas.microsoft.com/office/drawing/2014/main" id="{35776ACC-2979-409C-A1F3-E94CF174BE5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17" name="Isosceles Triangle 2416">
          <a:extLst>
            <a:ext uri="{FF2B5EF4-FFF2-40B4-BE49-F238E27FC236}">
              <a16:creationId xmlns:a16="http://schemas.microsoft.com/office/drawing/2014/main" id="{F6690D6F-6226-4269-9199-A26AEB5CEFB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18" name="Isosceles Triangle 2417">
          <a:extLst>
            <a:ext uri="{FF2B5EF4-FFF2-40B4-BE49-F238E27FC236}">
              <a16:creationId xmlns:a16="http://schemas.microsoft.com/office/drawing/2014/main" id="{672407CB-1516-4579-9FB8-84F633551D9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19" name="Isosceles Triangle 2418">
          <a:extLst>
            <a:ext uri="{FF2B5EF4-FFF2-40B4-BE49-F238E27FC236}">
              <a16:creationId xmlns:a16="http://schemas.microsoft.com/office/drawing/2014/main" id="{39903792-51AD-4AD9-A587-DF7257E8C0E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20" name="Isosceles Triangle 2419">
          <a:extLst>
            <a:ext uri="{FF2B5EF4-FFF2-40B4-BE49-F238E27FC236}">
              <a16:creationId xmlns:a16="http://schemas.microsoft.com/office/drawing/2014/main" id="{FF6D43E5-12E6-466B-A4AF-7AC4B63E142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21" name="Isosceles Triangle 2420">
          <a:extLst>
            <a:ext uri="{FF2B5EF4-FFF2-40B4-BE49-F238E27FC236}">
              <a16:creationId xmlns:a16="http://schemas.microsoft.com/office/drawing/2014/main" id="{EBC85D53-D7F6-4585-B39B-444C11FB447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22" name="Isosceles Triangle 2421">
          <a:extLst>
            <a:ext uri="{FF2B5EF4-FFF2-40B4-BE49-F238E27FC236}">
              <a16:creationId xmlns:a16="http://schemas.microsoft.com/office/drawing/2014/main" id="{22E34284-606D-40C7-BC3E-762E32C05BE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23" name="Isosceles Triangle 2422">
          <a:extLst>
            <a:ext uri="{FF2B5EF4-FFF2-40B4-BE49-F238E27FC236}">
              <a16:creationId xmlns:a16="http://schemas.microsoft.com/office/drawing/2014/main" id="{A921F1F7-89E4-4E32-B63A-69FEBC435D7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24" name="Isosceles Triangle 2423">
          <a:extLst>
            <a:ext uri="{FF2B5EF4-FFF2-40B4-BE49-F238E27FC236}">
              <a16:creationId xmlns:a16="http://schemas.microsoft.com/office/drawing/2014/main" id="{F63050A8-6ACC-4035-8EF0-2EC58FFA5B9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25" name="Isosceles Triangle 2424">
          <a:extLst>
            <a:ext uri="{FF2B5EF4-FFF2-40B4-BE49-F238E27FC236}">
              <a16:creationId xmlns:a16="http://schemas.microsoft.com/office/drawing/2014/main" id="{4E13D96F-971E-4122-AA88-E383EA28A2D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26" name="Isosceles Triangle 2425">
          <a:extLst>
            <a:ext uri="{FF2B5EF4-FFF2-40B4-BE49-F238E27FC236}">
              <a16:creationId xmlns:a16="http://schemas.microsoft.com/office/drawing/2014/main" id="{FDF93CA4-6E6C-4EC1-97D8-A41A72A93E7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27" name="Isosceles Triangle 2426">
          <a:extLst>
            <a:ext uri="{FF2B5EF4-FFF2-40B4-BE49-F238E27FC236}">
              <a16:creationId xmlns:a16="http://schemas.microsoft.com/office/drawing/2014/main" id="{17385CE6-8CAA-4258-B797-9EF7FA6A415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28" name="Isosceles Triangle 2427">
          <a:extLst>
            <a:ext uri="{FF2B5EF4-FFF2-40B4-BE49-F238E27FC236}">
              <a16:creationId xmlns:a16="http://schemas.microsoft.com/office/drawing/2014/main" id="{4F5639FE-DB3C-4A93-89EC-4156F56EF87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29" name="Isosceles Triangle 2428">
          <a:extLst>
            <a:ext uri="{FF2B5EF4-FFF2-40B4-BE49-F238E27FC236}">
              <a16:creationId xmlns:a16="http://schemas.microsoft.com/office/drawing/2014/main" id="{4E537B6C-3382-43A1-9F07-A930CC9929D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30" name="Isosceles Triangle 2429">
          <a:extLst>
            <a:ext uri="{FF2B5EF4-FFF2-40B4-BE49-F238E27FC236}">
              <a16:creationId xmlns:a16="http://schemas.microsoft.com/office/drawing/2014/main" id="{5BCFBD2E-311D-4203-94A7-2024EF72257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31" name="Isosceles Triangle 2430">
          <a:extLst>
            <a:ext uri="{FF2B5EF4-FFF2-40B4-BE49-F238E27FC236}">
              <a16:creationId xmlns:a16="http://schemas.microsoft.com/office/drawing/2014/main" id="{1D8071CE-B7D7-450C-9E6A-07DA6169EDD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32" name="Isosceles Triangle 2431">
          <a:extLst>
            <a:ext uri="{FF2B5EF4-FFF2-40B4-BE49-F238E27FC236}">
              <a16:creationId xmlns:a16="http://schemas.microsoft.com/office/drawing/2014/main" id="{796368E4-515E-4EEF-9963-8F101E52C79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33" name="Isosceles Triangle 2432">
          <a:extLst>
            <a:ext uri="{FF2B5EF4-FFF2-40B4-BE49-F238E27FC236}">
              <a16:creationId xmlns:a16="http://schemas.microsoft.com/office/drawing/2014/main" id="{FF802310-D450-4AE5-8790-C3ECD09B800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34" name="Isosceles Triangle 2433">
          <a:extLst>
            <a:ext uri="{FF2B5EF4-FFF2-40B4-BE49-F238E27FC236}">
              <a16:creationId xmlns:a16="http://schemas.microsoft.com/office/drawing/2014/main" id="{F07386F5-1C06-4E26-AABB-8303B3B32DF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35" name="Isosceles Triangle 2434">
          <a:extLst>
            <a:ext uri="{FF2B5EF4-FFF2-40B4-BE49-F238E27FC236}">
              <a16:creationId xmlns:a16="http://schemas.microsoft.com/office/drawing/2014/main" id="{43669CFC-1A82-4F7E-8E5F-8F3DB8BA3CB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36" name="Isosceles Triangle 2435">
          <a:extLst>
            <a:ext uri="{FF2B5EF4-FFF2-40B4-BE49-F238E27FC236}">
              <a16:creationId xmlns:a16="http://schemas.microsoft.com/office/drawing/2014/main" id="{24FA6569-7336-48AA-9AD4-D6C948BC76C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37" name="Isosceles Triangle 2436">
          <a:extLst>
            <a:ext uri="{FF2B5EF4-FFF2-40B4-BE49-F238E27FC236}">
              <a16:creationId xmlns:a16="http://schemas.microsoft.com/office/drawing/2014/main" id="{A793D915-9804-4BAF-9B46-177E112F342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38" name="Isosceles Triangle 2437">
          <a:extLst>
            <a:ext uri="{FF2B5EF4-FFF2-40B4-BE49-F238E27FC236}">
              <a16:creationId xmlns:a16="http://schemas.microsoft.com/office/drawing/2014/main" id="{ECE6935E-F400-4ED5-864B-1CB21A6EFFF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39" name="Isosceles Triangle 2438">
          <a:extLst>
            <a:ext uri="{FF2B5EF4-FFF2-40B4-BE49-F238E27FC236}">
              <a16:creationId xmlns:a16="http://schemas.microsoft.com/office/drawing/2014/main" id="{6B72D131-CDC8-4677-8B57-F68B69BA5F9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40" name="Isosceles Triangle 2439">
          <a:extLst>
            <a:ext uri="{FF2B5EF4-FFF2-40B4-BE49-F238E27FC236}">
              <a16:creationId xmlns:a16="http://schemas.microsoft.com/office/drawing/2014/main" id="{9D25223A-C9EA-47DE-9701-E586A766FAB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41" name="Isosceles Triangle 2440">
          <a:extLst>
            <a:ext uri="{FF2B5EF4-FFF2-40B4-BE49-F238E27FC236}">
              <a16:creationId xmlns:a16="http://schemas.microsoft.com/office/drawing/2014/main" id="{9A079BC6-733A-4324-A55C-B8B135297B6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42" name="Isosceles Triangle 2441">
          <a:extLst>
            <a:ext uri="{FF2B5EF4-FFF2-40B4-BE49-F238E27FC236}">
              <a16:creationId xmlns:a16="http://schemas.microsoft.com/office/drawing/2014/main" id="{7248E45D-D9C9-432E-8464-85152D0A9FB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43" name="Isosceles Triangle 2442">
          <a:extLst>
            <a:ext uri="{FF2B5EF4-FFF2-40B4-BE49-F238E27FC236}">
              <a16:creationId xmlns:a16="http://schemas.microsoft.com/office/drawing/2014/main" id="{F16DBD68-31D9-4AD5-A111-D084E712232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44" name="Isosceles Triangle 2443">
          <a:extLst>
            <a:ext uri="{FF2B5EF4-FFF2-40B4-BE49-F238E27FC236}">
              <a16:creationId xmlns:a16="http://schemas.microsoft.com/office/drawing/2014/main" id="{ACA4DDC2-F24B-4B44-ACA2-E6EBF8B898B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45" name="Isosceles Triangle 2444">
          <a:extLst>
            <a:ext uri="{FF2B5EF4-FFF2-40B4-BE49-F238E27FC236}">
              <a16:creationId xmlns:a16="http://schemas.microsoft.com/office/drawing/2014/main" id="{42562814-8D16-4C71-9D7F-E5304086418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46" name="Isosceles Triangle 2445">
          <a:extLst>
            <a:ext uri="{FF2B5EF4-FFF2-40B4-BE49-F238E27FC236}">
              <a16:creationId xmlns:a16="http://schemas.microsoft.com/office/drawing/2014/main" id="{4423FB40-7A04-445A-BA19-EC1EA87AC37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47" name="Isosceles Triangle 2446">
          <a:extLst>
            <a:ext uri="{FF2B5EF4-FFF2-40B4-BE49-F238E27FC236}">
              <a16:creationId xmlns:a16="http://schemas.microsoft.com/office/drawing/2014/main" id="{93ABDDD9-3769-4513-BCBC-F7EEA3DEC82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48" name="Isosceles Triangle 2447">
          <a:extLst>
            <a:ext uri="{FF2B5EF4-FFF2-40B4-BE49-F238E27FC236}">
              <a16:creationId xmlns:a16="http://schemas.microsoft.com/office/drawing/2014/main" id="{28793C2B-9469-4C0A-AFA1-1DD8147A236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49" name="Isosceles Triangle 2448">
          <a:extLst>
            <a:ext uri="{FF2B5EF4-FFF2-40B4-BE49-F238E27FC236}">
              <a16:creationId xmlns:a16="http://schemas.microsoft.com/office/drawing/2014/main" id="{796FF238-0E5C-4A0C-8B5F-E7DE6451D3D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50" name="Isosceles Triangle 2449">
          <a:extLst>
            <a:ext uri="{FF2B5EF4-FFF2-40B4-BE49-F238E27FC236}">
              <a16:creationId xmlns:a16="http://schemas.microsoft.com/office/drawing/2014/main" id="{A5628FC0-4B5E-41C9-812B-672F67FDDF7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51" name="Isosceles Triangle 2450">
          <a:extLst>
            <a:ext uri="{FF2B5EF4-FFF2-40B4-BE49-F238E27FC236}">
              <a16:creationId xmlns:a16="http://schemas.microsoft.com/office/drawing/2014/main" id="{EAB2DC8E-D707-466C-BC7F-CA23BFDA4F3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52" name="Isosceles Triangle 2451">
          <a:extLst>
            <a:ext uri="{FF2B5EF4-FFF2-40B4-BE49-F238E27FC236}">
              <a16:creationId xmlns:a16="http://schemas.microsoft.com/office/drawing/2014/main" id="{F8F5897B-63E6-44E7-9668-DEBDC7A3432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53" name="Isosceles Triangle 2452">
          <a:extLst>
            <a:ext uri="{FF2B5EF4-FFF2-40B4-BE49-F238E27FC236}">
              <a16:creationId xmlns:a16="http://schemas.microsoft.com/office/drawing/2014/main" id="{CF25D340-6719-415F-828B-C989091BBF4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54" name="Isosceles Triangle 2453">
          <a:extLst>
            <a:ext uri="{FF2B5EF4-FFF2-40B4-BE49-F238E27FC236}">
              <a16:creationId xmlns:a16="http://schemas.microsoft.com/office/drawing/2014/main" id="{324B534A-C5AE-48CE-9938-12F3DE08CD2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55" name="Isosceles Triangle 2454">
          <a:extLst>
            <a:ext uri="{FF2B5EF4-FFF2-40B4-BE49-F238E27FC236}">
              <a16:creationId xmlns:a16="http://schemas.microsoft.com/office/drawing/2014/main" id="{682FF7ED-0A0A-4717-9325-C0770F2E76B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56" name="Isosceles Triangle 2455">
          <a:extLst>
            <a:ext uri="{FF2B5EF4-FFF2-40B4-BE49-F238E27FC236}">
              <a16:creationId xmlns:a16="http://schemas.microsoft.com/office/drawing/2014/main" id="{673D1A89-608D-4B75-8436-1A4F1C83ED9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57" name="Isosceles Triangle 2456">
          <a:extLst>
            <a:ext uri="{FF2B5EF4-FFF2-40B4-BE49-F238E27FC236}">
              <a16:creationId xmlns:a16="http://schemas.microsoft.com/office/drawing/2014/main" id="{091371BF-48D5-4904-9AF0-70EE90E42B0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58" name="Isosceles Triangle 2457">
          <a:extLst>
            <a:ext uri="{FF2B5EF4-FFF2-40B4-BE49-F238E27FC236}">
              <a16:creationId xmlns:a16="http://schemas.microsoft.com/office/drawing/2014/main" id="{36F4CE98-3E45-44DF-A0C6-4619CC4BE83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59" name="Isosceles Triangle 2458">
          <a:extLst>
            <a:ext uri="{FF2B5EF4-FFF2-40B4-BE49-F238E27FC236}">
              <a16:creationId xmlns:a16="http://schemas.microsoft.com/office/drawing/2014/main" id="{69884BB9-4F9D-48FD-8435-00B2617B78B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60" name="Isosceles Triangle 2459">
          <a:extLst>
            <a:ext uri="{FF2B5EF4-FFF2-40B4-BE49-F238E27FC236}">
              <a16:creationId xmlns:a16="http://schemas.microsoft.com/office/drawing/2014/main" id="{3CB37FCA-5D8E-4743-83B9-03FC75387F1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61" name="Isosceles Triangle 2460">
          <a:extLst>
            <a:ext uri="{FF2B5EF4-FFF2-40B4-BE49-F238E27FC236}">
              <a16:creationId xmlns:a16="http://schemas.microsoft.com/office/drawing/2014/main" id="{30BD2EED-012F-4D04-9F74-A5C069DFF2A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62" name="Isosceles Triangle 2461">
          <a:extLst>
            <a:ext uri="{FF2B5EF4-FFF2-40B4-BE49-F238E27FC236}">
              <a16:creationId xmlns:a16="http://schemas.microsoft.com/office/drawing/2014/main" id="{18AE9D6F-B1F5-4CF2-AA72-5193B5FF3E4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63" name="Isosceles Triangle 2462">
          <a:extLst>
            <a:ext uri="{FF2B5EF4-FFF2-40B4-BE49-F238E27FC236}">
              <a16:creationId xmlns:a16="http://schemas.microsoft.com/office/drawing/2014/main" id="{B94110CE-431F-46E3-8A6F-DA582EE93B1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64" name="Isosceles Triangle 2463">
          <a:extLst>
            <a:ext uri="{FF2B5EF4-FFF2-40B4-BE49-F238E27FC236}">
              <a16:creationId xmlns:a16="http://schemas.microsoft.com/office/drawing/2014/main" id="{13203953-DAD9-404F-8902-607F2F951FF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65" name="Isosceles Triangle 2464">
          <a:extLst>
            <a:ext uri="{FF2B5EF4-FFF2-40B4-BE49-F238E27FC236}">
              <a16:creationId xmlns:a16="http://schemas.microsoft.com/office/drawing/2014/main" id="{C761EA58-6738-4749-87C3-299A1CAB4C2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66" name="Isosceles Triangle 2465">
          <a:extLst>
            <a:ext uri="{FF2B5EF4-FFF2-40B4-BE49-F238E27FC236}">
              <a16:creationId xmlns:a16="http://schemas.microsoft.com/office/drawing/2014/main" id="{197C21A7-D088-461C-9A95-C0B03B66307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67" name="Isosceles Triangle 2466">
          <a:extLst>
            <a:ext uri="{FF2B5EF4-FFF2-40B4-BE49-F238E27FC236}">
              <a16:creationId xmlns:a16="http://schemas.microsoft.com/office/drawing/2014/main" id="{EA4E5D40-9E86-4DA6-A646-4EAA042F8BF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68" name="Isosceles Triangle 2467">
          <a:extLst>
            <a:ext uri="{FF2B5EF4-FFF2-40B4-BE49-F238E27FC236}">
              <a16:creationId xmlns:a16="http://schemas.microsoft.com/office/drawing/2014/main" id="{52395452-F628-4E97-9180-309C240E3E7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69" name="Isosceles Triangle 2468">
          <a:extLst>
            <a:ext uri="{FF2B5EF4-FFF2-40B4-BE49-F238E27FC236}">
              <a16:creationId xmlns:a16="http://schemas.microsoft.com/office/drawing/2014/main" id="{130D2C4E-DF7D-486B-BC6B-536F1437F2D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70" name="Isosceles Triangle 2469">
          <a:extLst>
            <a:ext uri="{FF2B5EF4-FFF2-40B4-BE49-F238E27FC236}">
              <a16:creationId xmlns:a16="http://schemas.microsoft.com/office/drawing/2014/main" id="{6D3289CC-FBEB-440C-BBED-FF60460E75C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71" name="Isosceles Triangle 2470">
          <a:extLst>
            <a:ext uri="{FF2B5EF4-FFF2-40B4-BE49-F238E27FC236}">
              <a16:creationId xmlns:a16="http://schemas.microsoft.com/office/drawing/2014/main" id="{25AF479B-F061-45B2-8534-1093F46AB4B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72" name="Isosceles Triangle 2471">
          <a:extLst>
            <a:ext uri="{FF2B5EF4-FFF2-40B4-BE49-F238E27FC236}">
              <a16:creationId xmlns:a16="http://schemas.microsoft.com/office/drawing/2014/main" id="{950D46B4-53E5-45CB-B88C-917D3422800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73" name="Isosceles Triangle 2472">
          <a:extLst>
            <a:ext uri="{FF2B5EF4-FFF2-40B4-BE49-F238E27FC236}">
              <a16:creationId xmlns:a16="http://schemas.microsoft.com/office/drawing/2014/main" id="{1B667008-D0D9-4037-B261-70321F0C90B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74" name="Isosceles Triangle 2473">
          <a:extLst>
            <a:ext uri="{FF2B5EF4-FFF2-40B4-BE49-F238E27FC236}">
              <a16:creationId xmlns:a16="http://schemas.microsoft.com/office/drawing/2014/main" id="{A8810606-3B53-4B34-940F-F0562CA0727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75" name="Isosceles Triangle 2474">
          <a:extLst>
            <a:ext uri="{FF2B5EF4-FFF2-40B4-BE49-F238E27FC236}">
              <a16:creationId xmlns:a16="http://schemas.microsoft.com/office/drawing/2014/main" id="{8E5ED18B-1810-49BE-89E4-4D5AF2E7A56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76" name="Isosceles Triangle 2475">
          <a:extLst>
            <a:ext uri="{FF2B5EF4-FFF2-40B4-BE49-F238E27FC236}">
              <a16:creationId xmlns:a16="http://schemas.microsoft.com/office/drawing/2014/main" id="{B591B32A-125E-487F-A382-827E0CADAA9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77" name="Isosceles Triangle 2476">
          <a:extLst>
            <a:ext uri="{FF2B5EF4-FFF2-40B4-BE49-F238E27FC236}">
              <a16:creationId xmlns:a16="http://schemas.microsoft.com/office/drawing/2014/main" id="{921A2E23-C7C4-47AD-AD92-82A9503FE80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78" name="Isosceles Triangle 2477">
          <a:extLst>
            <a:ext uri="{FF2B5EF4-FFF2-40B4-BE49-F238E27FC236}">
              <a16:creationId xmlns:a16="http://schemas.microsoft.com/office/drawing/2014/main" id="{1FBF6723-FEAC-4FD5-9D08-22A7498CD8A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79" name="Isosceles Triangle 2478">
          <a:extLst>
            <a:ext uri="{FF2B5EF4-FFF2-40B4-BE49-F238E27FC236}">
              <a16:creationId xmlns:a16="http://schemas.microsoft.com/office/drawing/2014/main" id="{17914145-6AA5-498C-86A7-E2A19B5CA82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80" name="Isosceles Triangle 2479">
          <a:extLst>
            <a:ext uri="{FF2B5EF4-FFF2-40B4-BE49-F238E27FC236}">
              <a16:creationId xmlns:a16="http://schemas.microsoft.com/office/drawing/2014/main" id="{421B3410-2B7D-4432-85DF-6B828CE8235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81" name="Isosceles Triangle 2480">
          <a:extLst>
            <a:ext uri="{FF2B5EF4-FFF2-40B4-BE49-F238E27FC236}">
              <a16:creationId xmlns:a16="http://schemas.microsoft.com/office/drawing/2014/main" id="{0411ABCF-0109-4978-852B-6C4BAA9C6C6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82" name="Isosceles Triangle 2481">
          <a:extLst>
            <a:ext uri="{FF2B5EF4-FFF2-40B4-BE49-F238E27FC236}">
              <a16:creationId xmlns:a16="http://schemas.microsoft.com/office/drawing/2014/main" id="{C59232B8-A1B7-4B93-9222-1738AE1B4CF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83" name="Isosceles Triangle 2482">
          <a:extLst>
            <a:ext uri="{FF2B5EF4-FFF2-40B4-BE49-F238E27FC236}">
              <a16:creationId xmlns:a16="http://schemas.microsoft.com/office/drawing/2014/main" id="{8E9BAFE8-3E91-45B0-A198-49D8957CC1E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84" name="Isosceles Triangle 2483">
          <a:extLst>
            <a:ext uri="{FF2B5EF4-FFF2-40B4-BE49-F238E27FC236}">
              <a16:creationId xmlns:a16="http://schemas.microsoft.com/office/drawing/2014/main" id="{BDED80D5-1604-440C-A43E-B037CAC8B3D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85" name="Isosceles Triangle 2484">
          <a:extLst>
            <a:ext uri="{FF2B5EF4-FFF2-40B4-BE49-F238E27FC236}">
              <a16:creationId xmlns:a16="http://schemas.microsoft.com/office/drawing/2014/main" id="{B1C154EE-6CD6-45D9-A75C-4B83A81834E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86" name="Isosceles Triangle 2485">
          <a:extLst>
            <a:ext uri="{FF2B5EF4-FFF2-40B4-BE49-F238E27FC236}">
              <a16:creationId xmlns:a16="http://schemas.microsoft.com/office/drawing/2014/main" id="{0BF85758-18FF-404F-B262-186F6E02156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87" name="Isosceles Triangle 2486">
          <a:extLst>
            <a:ext uri="{FF2B5EF4-FFF2-40B4-BE49-F238E27FC236}">
              <a16:creationId xmlns:a16="http://schemas.microsoft.com/office/drawing/2014/main" id="{332102B4-2721-49B6-9E46-09B4682C758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88" name="Isosceles Triangle 2487">
          <a:extLst>
            <a:ext uri="{FF2B5EF4-FFF2-40B4-BE49-F238E27FC236}">
              <a16:creationId xmlns:a16="http://schemas.microsoft.com/office/drawing/2014/main" id="{8C0CFA01-7473-49EA-BEEA-634F61C4FCA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89" name="Isosceles Triangle 2488">
          <a:extLst>
            <a:ext uri="{FF2B5EF4-FFF2-40B4-BE49-F238E27FC236}">
              <a16:creationId xmlns:a16="http://schemas.microsoft.com/office/drawing/2014/main" id="{050BDA9E-E7EF-4A59-84EC-CBEB6E7BC4A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90" name="Isosceles Triangle 2489">
          <a:extLst>
            <a:ext uri="{FF2B5EF4-FFF2-40B4-BE49-F238E27FC236}">
              <a16:creationId xmlns:a16="http://schemas.microsoft.com/office/drawing/2014/main" id="{54213806-8AA0-4A52-96A9-2CCF5CDB2F6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91" name="Isosceles Triangle 2490">
          <a:extLst>
            <a:ext uri="{FF2B5EF4-FFF2-40B4-BE49-F238E27FC236}">
              <a16:creationId xmlns:a16="http://schemas.microsoft.com/office/drawing/2014/main" id="{74005FFD-ABA8-4ACF-B75F-5266DF11958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92" name="Isosceles Triangle 2491">
          <a:extLst>
            <a:ext uri="{FF2B5EF4-FFF2-40B4-BE49-F238E27FC236}">
              <a16:creationId xmlns:a16="http://schemas.microsoft.com/office/drawing/2014/main" id="{665967DF-13CF-48BD-8787-B21D8C2A916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93" name="Isosceles Triangle 2492">
          <a:extLst>
            <a:ext uri="{FF2B5EF4-FFF2-40B4-BE49-F238E27FC236}">
              <a16:creationId xmlns:a16="http://schemas.microsoft.com/office/drawing/2014/main" id="{52F50A88-8B00-4220-96B3-02BD1AD4CEBB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94" name="Isosceles Triangle 2493">
          <a:extLst>
            <a:ext uri="{FF2B5EF4-FFF2-40B4-BE49-F238E27FC236}">
              <a16:creationId xmlns:a16="http://schemas.microsoft.com/office/drawing/2014/main" id="{5C9141CE-5B0D-41BB-9589-9282AD1DF5A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95" name="Isosceles Triangle 2494">
          <a:extLst>
            <a:ext uri="{FF2B5EF4-FFF2-40B4-BE49-F238E27FC236}">
              <a16:creationId xmlns:a16="http://schemas.microsoft.com/office/drawing/2014/main" id="{F7643D87-26B0-4588-A7EF-CB73BB42A76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96" name="Isosceles Triangle 2495">
          <a:extLst>
            <a:ext uri="{FF2B5EF4-FFF2-40B4-BE49-F238E27FC236}">
              <a16:creationId xmlns:a16="http://schemas.microsoft.com/office/drawing/2014/main" id="{383B621D-8CA9-4342-999E-577F37AA1FE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97" name="Isosceles Triangle 2496">
          <a:extLst>
            <a:ext uri="{FF2B5EF4-FFF2-40B4-BE49-F238E27FC236}">
              <a16:creationId xmlns:a16="http://schemas.microsoft.com/office/drawing/2014/main" id="{1CE453D5-542B-4B84-BC10-773C6C9A4AF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98" name="Isosceles Triangle 2497">
          <a:extLst>
            <a:ext uri="{FF2B5EF4-FFF2-40B4-BE49-F238E27FC236}">
              <a16:creationId xmlns:a16="http://schemas.microsoft.com/office/drawing/2014/main" id="{2AC6E28B-E86F-47F4-BE18-918A3E728B2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499" name="Isosceles Triangle 2498">
          <a:extLst>
            <a:ext uri="{FF2B5EF4-FFF2-40B4-BE49-F238E27FC236}">
              <a16:creationId xmlns:a16="http://schemas.microsoft.com/office/drawing/2014/main" id="{18B392DC-9C0C-4D73-861E-2E1AAF1525E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00" name="Isosceles Triangle 2499">
          <a:extLst>
            <a:ext uri="{FF2B5EF4-FFF2-40B4-BE49-F238E27FC236}">
              <a16:creationId xmlns:a16="http://schemas.microsoft.com/office/drawing/2014/main" id="{65C87C8F-2410-4598-87A9-A01338D4C6D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01" name="Isosceles Triangle 2500">
          <a:extLst>
            <a:ext uri="{FF2B5EF4-FFF2-40B4-BE49-F238E27FC236}">
              <a16:creationId xmlns:a16="http://schemas.microsoft.com/office/drawing/2014/main" id="{DF7DD799-D609-47C4-887D-9B2FB80A10D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02" name="Isosceles Triangle 2501">
          <a:extLst>
            <a:ext uri="{FF2B5EF4-FFF2-40B4-BE49-F238E27FC236}">
              <a16:creationId xmlns:a16="http://schemas.microsoft.com/office/drawing/2014/main" id="{7A59EB52-1CB9-44A3-992A-E1A591ED77E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03" name="Isosceles Triangle 2502">
          <a:extLst>
            <a:ext uri="{FF2B5EF4-FFF2-40B4-BE49-F238E27FC236}">
              <a16:creationId xmlns:a16="http://schemas.microsoft.com/office/drawing/2014/main" id="{4CC5F16C-6A2E-4EEF-A958-8060EA85ECD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04" name="Isosceles Triangle 2503">
          <a:extLst>
            <a:ext uri="{FF2B5EF4-FFF2-40B4-BE49-F238E27FC236}">
              <a16:creationId xmlns:a16="http://schemas.microsoft.com/office/drawing/2014/main" id="{153B5DAD-16C3-4BDB-8E9F-CE52E3ACFA1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05" name="Isosceles Triangle 2504">
          <a:extLst>
            <a:ext uri="{FF2B5EF4-FFF2-40B4-BE49-F238E27FC236}">
              <a16:creationId xmlns:a16="http://schemas.microsoft.com/office/drawing/2014/main" id="{A5EA658C-1B3F-4CA0-AB69-C1D2D010DDC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06" name="Isosceles Triangle 2505">
          <a:extLst>
            <a:ext uri="{FF2B5EF4-FFF2-40B4-BE49-F238E27FC236}">
              <a16:creationId xmlns:a16="http://schemas.microsoft.com/office/drawing/2014/main" id="{FE119CDB-1B4F-489D-BED8-0007695396A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07" name="Isosceles Triangle 2506">
          <a:extLst>
            <a:ext uri="{FF2B5EF4-FFF2-40B4-BE49-F238E27FC236}">
              <a16:creationId xmlns:a16="http://schemas.microsoft.com/office/drawing/2014/main" id="{5DE1934C-70E9-4169-B0BF-78886E25A4C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08" name="Isosceles Triangle 2507">
          <a:extLst>
            <a:ext uri="{FF2B5EF4-FFF2-40B4-BE49-F238E27FC236}">
              <a16:creationId xmlns:a16="http://schemas.microsoft.com/office/drawing/2014/main" id="{E29708AC-FD7D-479C-B8A3-FCC3F716D89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09" name="Isosceles Triangle 2508">
          <a:extLst>
            <a:ext uri="{FF2B5EF4-FFF2-40B4-BE49-F238E27FC236}">
              <a16:creationId xmlns:a16="http://schemas.microsoft.com/office/drawing/2014/main" id="{35E797DF-0C40-40C1-9CD8-CF9A18848B6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10" name="Isosceles Triangle 2509">
          <a:extLst>
            <a:ext uri="{FF2B5EF4-FFF2-40B4-BE49-F238E27FC236}">
              <a16:creationId xmlns:a16="http://schemas.microsoft.com/office/drawing/2014/main" id="{02E055E8-7DAB-4EAB-B053-0999DE3C5E0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11" name="Isosceles Triangle 2510">
          <a:extLst>
            <a:ext uri="{FF2B5EF4-FFF2-40B4-BE49-F238E27FC236}">
              <a16:creationId xmlns:a16="http://schemas.microsoft.com/office/drawing/2014/main" id="{C0B7B8FE-5AE3-462C-A584-88489C7818B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12" name="Isosceles Triangle 2511">
          <a:extLst>
            <a:ext uri="{FF2B5EF4-FFF2-40B4-BE49-F238E27FC236}">
              <a16:creationId xmlns:a16="http://schemas.microsoft.com/office/drawing/2014/main" id="{97BED703-6BCA-47BE-9DDB-6B3A0B3439E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13" name="Isosceles Triangle 2512">
          <a:extLst>
            <a:ext uri="{FF2B5EF4-FFF2-40B4-BE49-F238E27FC236}">
              <a16:creationId xmlns:a16="http://schemas.microsoft.com/office/drawing/2014/main" id="{A90B18DC-424A-4E4F-A108-5FFF9FF2914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14" name="Isosceles Triangle 2513">
          <a:extLst>
            <a:ext uri="{FF2B5EF4-FFF2-40B4-BE49-F238E27FC236}">
              <a16:creationId xmlns:a16="http://schemas.microsoft.com/office/drawing/2014/main" id="{F87DE88E-6AD4-46E3-9DB2-C4DED1D9BFB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15" name="Isosceles Triangle 2514">
          <a:extLst>
            <a:ext uri="{FF2B5EF4-FFF2-40B4-BE49-F238E27FC236}">
              <a16:creationId xmlns:a16="http://schemas.microsoft.com/office/drawing/2014/main" id="{A4536983-AECB-4038-9BF7-4336350B85B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16" name="Isosceles Triangle 2515">
          <a:extLst>
            <a:ext uri="{FF2B5EF4-FFF2-40B4-BE49-F238E27FC236}">
              <a16:creationId xmlns:a16="http://schemas.microsoft.com/office/drawing/2014/main" id="{9CFA0166-67F1-4107-847C-790E717257E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17" name="Isosceles Triangle 2516">
          <a:extLst>
            <a:ext uri="{FF2B5EF4-FFF2-40B4-BE49-F238E27FC236}">
              <a16:creationId xmlns:a16="http://schemas.microsoft.com/office/drawing/2014/main" id="{5EC47023-6D69-4FAC-AA1D-7B215E7F05C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18" name="Isosceles Triangle 2517">
          <a:extLst>
            <a:ext uri="{FF2B5EF4-FFF2-40B4-BE49-F238E27FC236}">
              <a16:creationId xmlns:a16="http://schemas.microsoft.com/office/drawing/2014/main" id="{43DF2492-1FFF-4429-BD0E-656A5FB35B3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19" name="Isosceles Triangle 2518">
          <a:extLst>
            <a:ext uri="{FF2B5EF4-FFF2-40B4-BE49-F238E27FC236}">
              <a16:creationId xmlns:a16="http://schemas.microsoft.com/office/drawing/2014/main" id="{3EAEEF35-8752-4ECC-9E71-3E536B71DD8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20" name="Isosceles Triangle 2519">
          <a:extLst>
            <a:ext uri="{FF2B5EF4-FFF2-40B4-BE49-F238E27FC236}">
              <a16:creationId xmlns:a16="http://schemas.microsoft.com/office/drawing/2014/main" id="{3387E95C-00E4-4C21-94F5-2F23C475582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21" name="Isosceles Triangle 2520">
          <a:extLst>
            <a:ext uri="{FF2B5EF4-FFF2-40B4-BE49-F238E27FC236}">
              <a16:creationId xmlns:a16="http://schemas.microsoft.com/office/drawing/2014/main" id="{66E6D5C1-1358-4C57-875B-04AAD3D2A7A8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22" name="Isosceles Triangle 2521">
          <a:extLst>
            <a:ext uri="{FF2B5EF4-FFF2-40B4-BE49-F238E27FC236}">
              <a16:creationId xmlns:a16="http://schemas.microsoft.com/office/drawing/2014/main" id="{7A8CA03B-40B4-40D8-83FB-009B8FB1B52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23" name="Isosceles Triangle 2522">
          <a:extLst>
            <a:ext uri="{FF2B5EF4-FFF2-40B4-BE49-F238E27FC236}">
              <a16:creationId xmlns:a16="http://schemas.microsoft.com/office/drawing/2014/main" id="{694728C3-DEE5-4173-A4D2-64F2142F973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24" name="Isosceles Triangle 2523">
          <a:extLst>
            <a:ext uri="{FF2B5EF4-FFF2-40B4-BE49-F238E27FC236}">
              <a16:creationId xmlns:a16="http://schemas.microsoft.com/office/drawing/2014/main" id="{184E38A7-0431-4431-832D-0023E4B7425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25" name="Isosceles Triangle 2524">
          <a:extLst>
            <a:ext uri="{FF2B5EF4-FFF2-40B4-BE49-F238E27FC236}">
              <a16:creationId xmlns:a16="http://schemas.microsoft.com/office/drawing/2014/main" id="{A6369825-D814-4603-BCD9-179BFA5E269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26" name="Isosceles Triangle 2525">
          <a:extLst>
            <a:ext uri="{FF2B5EF4-FFF2-40B4-BE49-F238E27FC236}">
              <a16:creationId xmlns:a16="http://schemas.microsoft.com/office/drawing/2014/main" id="{ACE25955-A09F-471A-ADD2-F862224259C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27" name="Isosceles Triangle 2526">
          <a:extLst>
            <a:ext uri="{FF2B5EF4-FFF2-40B4-BE49-F238E27FC236}">
              <a16:creationId xmlns:a16="http://schemas.microsoft.com/office/drawing/2014/main" id="{E9571186-30D6-4E87-888C-86BF470A6C9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28" name="Isosceles Triangle 2527">
          <a:extLst>
            <a:ext uri="{FF2B5EF4-FFF2-40B4-BE49-F238E27FC236}">
              <a16:creationId xmlns:a16="http://schemas.microsoft.com/office/drawing/2014/main" id="{6E60CC0D-BD63-4A0B-B6B7-08F49626E61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29" name="Isosceles Triangle 2528">
          <a:extLst>
            <a:ext uri="{FF2B5EF4-FFF2-40B4-BE49-F238E27FC236}">
              <a16:creationId xmlns:a16="http://schemas.microsoft.com/office/drawing/2014/main" id="{7715CDEA-040A-4992-ACAE-2407DE1EACD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30" name="Isosceles Triangle 2529">
          <a:extLst>
            <a:ext uri="{FF2B5EF4-FFF2-40B4-BE49-F238E27FC236}">
              <a16:creationId xmlns:a16="http://schemas.microsoft.com/office/drawing/2014/main" id="{783ECBA7-ABD4-4EAE-9703-41AE472CEF4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31" name="Isosceles Triangle 2530">
          <a:extLst>
            <a:ext uri="{FF2B5EF4-FFF2-40B4-BE49-F238E27FC236}">
              <a16:creationId xmlns:a16="http://schemas.microsoft.com/office/drawing/2014/main" id="{60585B94-574F-4AD3-8359-C2021FBD14F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32" name="Isosceles Triangle 2531">
          <a:extLst>
            <a:ext uri="{FF2B5EF4-FFF2-40B4-BE49-F238E27FC236}">
              <a16:creationId xmlns:a16="http://schemas.microsoft.com/office/drawing/2014/main" id="{F8A92F9A-990D-45E6-BB15-9DFC1480A11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33" name="Isosceles Triangle 2532">
          <a:extLst>
            <a:ext uri="{FF2B5EF4-FFF2-40B4-BE49-F238E27FC236}">
              <a16:creationId xmlns:a16="http://schemas.microsoft.com/office/drawing/2014/main" id="{65FC0E26-CB1F-4BC7-8128-6CEC7A7EC11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34" name="Isosceles Triangle 2533">
          <a:extLst>
            <a:ext uri="{FF2B5EF4-FFF2-40B4-BE49-F238E27FC236}">
              <a16:creationId xmlns:a16="http://schemas.microsoft.com/office/drawing/2014/main" id="{6E9825D6-930C-429F-8627-D3B59D483F5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35" name="Isosceles Triangle 2534">
          <a:extLst>
            <a:ext uri="{FF2B5EF4-FFF2-40B4-BE49-F238E27FC236}">
              <a16:creationId xmlns:a16="http://schemas.microsoft.com/office/drawing/2014/main" id="{0D1F5E99-2507-45BD-A330-86B65A54C83D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36" name="Isosceles Triangle 2535">
          <a:extLst>
            <a:ext uri="{FF2B5EF4-FFF2-40B4-BE49-F238E27FC236}">
              <a16:creationId xmlns:a16="http://schemas.microsoft.com/office/drawing/2014/main" id="{DBEA9041-6361-4DB0-9BE4-BCBFE2737C6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37" name="Isosceles Triangle 2536">
          <a:extLst>
            <a:ext uri="{FF2B5EF4-FFF2-40B4-BE49-F238E27FC236}">
              <a16:creationId xmlns:a16="http://schemas.microsoft.com/office/drawing/2014/main" id="{3A9BE7AB-B780-4CE2-A43A-EC36FCEEEFA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38" name="Isosceles Triangle 2537">
          <a:extLst>
            <a:ext uri="{FF2B5EF4-FFF2-40B4-BE49-F238E27FC236}">
              <a16:creationId xmlns:a16="http://schemas.microsoft.com/office/drawing/2014/main" id="{35EBCDC6-CAF3-4ABA-B819-7C6CE426DE1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39" name="Isosceles Triangle 2538">
          <a:extLst>
            <a:ext uri="{FF2B5EF4-FFF2-40B4-BE49-F238E27FC236}">
              <a16:creationId xmlns:a16="http://schemas.microsoft.com/office/drawing/2014/main" id="{841BE53E-C411-4B34-A8EE-F6448CB710CC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40" name="Isosceles Triangle 2539">
          <a:extLst>
            <a:ext uri="{FF2B5EF4-FFF2-40B4-BE49-F238E27FC236}">
              <a16:creationId xmlns:a16="http://schemas.microsoft.com/office/drawing/2014/main" id="{665CD2C1-81D4-4EEB-B697-54A4B521D57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41" name="Isosceles Triangle 2540">
          <a:extLst>
            <a:ext uri="{FF2B5EF4-FFF2-40B4-BE49-F238E27FC236}">
              <a16:creationId xmlns:a16="http://schemas.microsoft.com/office/drawing/2014/main" id="{066E74E7-48CF-4B2E-87BB-BDF3F2D424A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42" name="Isosceles Triangle 2541">
          <a:extLst>
            <a:ext uri="{FF2B5EF4-FFF2-40B4-BE49-F238E27FC236}">
              <a16:creationId xmlns:a16="http://schemas.microsoft.com/office/drawing/2014/main" id="{DE6221AA-F20D-4D75-884D-0129AD85D03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43" name="Isosceles Triangle 2542">
          <a:extLst>
            <a:ext uri="{FF2B5EF4-FFF2-40B4-BE49-F238E27FC236}">
              <a16:creationId xmlns:a16="http://schemas.microsoft.com/office/drawing/2014/main" id="{2D826147-2EEE-4F84-BD5D-1641F3C0FBD9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44" name="Isosceles Triangle 2543">
          <a:extLst>
            <a:ext uri="{FF2B5EF4-FFF2-40B4-BE49-F238E27FC236}">
              <a16:creationId xmlns:a16="http://schemas.microsoft.com/office/drawing/2014/main" id="{6E05125A-5989-4D0E-83C3-85D8FAFDFB7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45" name="Isosceles Triangle 2544">
          <a:extLst>
            <a:ext uri="{FF2B5EF4-FFF2-40B4-BE49-F238E27FC236}">
              <a16:creationId xmlns:a16="http://schemas.microsoft.com/office/drawing/2014/main" id="{608A08D7-AF89-4686-A48F-EC32901DD420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46" name="Isosceles Triangle 2545">
          <a:extLst>
            <a:ext uri="{FF2B5EF4-FFF2-40B4-BE49-F238E27FC236}">
              <a16:creationId xmlns:a16="http://schemas.microsoft.com/office/drawing/2014/main" id="{AC034087-2050-403B-A210-5F886E241953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47" name="Isosceles Triangle 2546">
          <a:extLst>
            <a:ext uri="{FF2B5EF4-FFF2-40B4-BE49-F238E27FC236}">
              <a16:creationId xmlns:a16="http://schemas.microsoft.com/office/drawing/2014/main" id="{5EA6B880-C392-4FF7-AAA4-3F4845BFDC7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48" name="Isosceles Triangle 2547">
          <a:extLst>
            <a:ext uri="{FF2B5EF4-FFF2-40B4-BE49-F238E27FC236}">
              <a16:creationId xmlns:a16="http://schemas.microsoft.com/office/drawing/2014/main" id="{F9CD765E-7A85-4AA4-9A9D-C4BFF87FDB27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49" name="Isosceles Triangle 2548">
          <a:extLst>
            <a:ext uri="{FF2B5EF4-FFF2-40B4-BE49-F238E27FC236}">
              <a16:creationId xmlns:a16="http://schemas.microsoft.com/office/drawing/2014/main" id="{D7AC46E7-61E5-47FB-B98D-37DE6AA01A0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50" name="Isosceles Triangle 2549">
          <a:extLst>
            <a:ext uri="{FF2B5EF4-FFF2-40B4-BE49-F238E27FC236}">
              <a16:creationId xmlns:a16="http://schemas.microsoft.com/office/drawing/2014/main" id="{A8B9B39D-4E1A-4F18-9D8F-05EFED9ED97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51" name="Isosceles Triangle 2550">
          <a:extLst>
            <a:ext uri="{FF2B5EF4-FFF2-40B4-BE49-F238E27FC236}">
              <a16:creationId xmlns:a16="http://schemas.microsoft.com/office/drawing/2014/main" id="{88695345-7FAA-48A0-A78D-46D7655ACF44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52" name="Isosceles Triangle 2551">
          <a:extLst>
            <a:ext uri="{FF2B5EF4-FFF2-40B4-BE49-F238E27FC236}">
              <a16:creationId xmlns:a16="http://schemas.microsoft.com/office/drawing/2014/main" id="{85045FF7-B7D0-4D36-8063-5F6B673A57F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53" name="Isosceles Triangle 2552">
          <a:extLst>
            <a:ext uri="{FF2B5EF4-FFF2-40B4-BE49-F238E27FC236}">
              <a16:creationId xmlns:a16="http://schemas.microsoft.com/office/drawing/2014/main" id="{1B08E328-95DF-462E-810E-D6526412EF7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54" name="Isosceles Triangle 2553">
          <a:extLst>
            <a:ext uri="{FF2B5EF4-FFF2-40B4-BE49-F238E27FC236}">
              <a16:creationId xmlns:a16="http://schemas.microsoft.com/office/drawing/2014/main" id="{6E056EAC-04D1-4846-B895-DBEA53963FEA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55" name="Isosceles Triangle 2554">
          <a:extLst>
            <a:ext uri="{FF2B5EF4-FFF2-40B4-BE49-F238E27FC236}">
              <a16:creationId xmlns:a16="http://schemas.microsoft.com/office/drawing/2014/main" id="{73130258-B4C5-4854-8B55-092B307A3971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56" name="Isosceles Triangle 2555">
          <a:extLst>
            <a:ext uri="{FF2B5EF4-FFF2-40B4-BE49-F238E27FC236}">
              <a16:creationId xmlns:a16="http://schemas.microsoft.com/office/drawing/2014/main" id="{947499A2-C164-4B2B-A2E0-B2DAACCC58EF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57" name="Isosceles Triangle 2556">
          <a:extLst>
            <a:ext uri="{FF2B5EF4-FFF2-40B4-BE49-F238E27FC236}">
              <a16:creationId xmlns:a16="http://schemas.microsoft.com/office/drawing/2014/main" id="{4A93071F-557F-4202-879D-BA398F8F4E72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58" name="Isosceles Triangle 2557">
          <a:extLst>
            <a:ext uri="{FF2B5EF4-FFF2-40B4-BE49-F238E27FC236}">
              <a16:creationId xmlns:a16="http://schemas.microsoft.com/office/drawing/2014/main" id="{04FFA9DC-6B07-48A9-9DAD-FFE4930F5D8E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59" name="Isosceles Triangle 2558">
          <a:extLst>
            <a:ext uri="{FF2B5EF4-FFF2-40B4-BE49-F238E27FC236}">
              <a16:creationId xmlns:a16="http://schemas.microsoft.com/office/drawing/2014/main" id="{CD55EF7D-200B-4E2C-8495-9327A1F37666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2560" name="Isosceles Triangle 2559">
          <a:extLst>
            <a:ext uri="{FF2B5EF4-FFF2-40B4-BE49-F238E27FC236}">
              <a16:creationId xmlns:a16="http://schemas.microsoft.com/office/drawing/2014/main" id="{6E6EFA69-15C2-41F1-9B67-75564B034705}"/>
            </a:ext>
          </a:extLst>
        </xdr:cNvPr>
        <xdr:cNvSpPr/>
      </xdr:nvSpPr>
      <xdr:spPr>
        <a:xfrm rot="10800000">
          <a:off x="14088917" y="58425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56</xdr:row>
      <xdr:rowOff>196272</xdr:rowOff>
    </xdr:from>
    <xdr:to>
      <xdr:col>10</xdr:col>
      <xdr:colOff>2320636</xdr:colOff>
      <xdr:row>56</xdr:row>
      <xdr:rowOff>346363</xdr:rowOff>
    </xdr:to>
    <xdr:sp macro="" textlink="">
      <xdr:nvSpPr>
        <xdr:cNvPr id="2561" name="Isosceles Triangle 2560">
          <a:extLst>
            <a:ext uri="{FF2B5EF4-FFF2-40B4-BE49-F238E27FC236}">
              <a16:creationId xmlns:a16="http://schemas.microsoft.com/office/drawing/2014/main" id="{84E6F0B9-96E9-4760-817A-DF359C693FE2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56</xdr:row>
      <xdr:rowOff>196272</xdr:rowOff>
    </xdr:from>
    <xdr:to>
      <xdr:col>10</xdr:col>
      <xdr:colOff>2320636</xdr:colOff>
      <xdr:row>56</xdr:row>
      <xdr:rowOff>346363</xdr:rowOff>
    </xdr:to>
    <xdr:sp macro="" textlink="">
      <xdr:nvSpPr>
        <xdr:cNvPr id="2562" name="Isosceles Triangle 2561">
          <a:extLst>
            <a:ext uri="{FF2B5EF4-FFF2-40B4-BE49-F238E27FC236}">
              <a16:creationId xmlns:a16="http://schemas.microsoft.com/office/drawing/2014/main" id="{044C4EF8-2763-49B5-B662-105E03629609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56</xdr:row>
      <xdr:rowOff>196272</xdr:rowOff>
    </xdr:from>
    <xdr:to>
      <xdr:col>10</xdr:col>
      <xdr:colOff>2320636</xdr:colOff>
      <xdr:row>56</xdr:row>
      <xdr:rowOff>346363</xdr:rowOff>
    </xdr:to>
    <xdr:sp macro="" textlink="">
      <xdr:nvSpPr>
        <xdr:cNvPr id="2563" name="Isosceles Triangle 2562">
          <a:extLst>
            <a:ext uri="{FF2B5EF4-FFF2-40B4-BE49-F238E27FC236}">
              <a16:creationId xmlns:a16="http://schemas.microsoft.com/office/drawing/2014/main" id="{2CD3643D-3927-47CB-873D-8195933B7C35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56</xdr:row>
      <xdr:rowOff>196272</xdr:rowOff>
    </xdr:from>
    <xdr:to>
      <xdr:col>10</xdr:col>
      <xdr:colOff>2320636</xdr:colOff>
      <xdr:row>56</xdr:row>
      <xdr:rowOff>346363</xdr:rowOff>
    </xdr:to>
    <xdr:sp macro="" textlink="">
      <xdr:nvSpPr>
        <xdr:cNvPr id="2564" name="Isosceles Triangle 2563">
          <a:extLst>
            <a:ext uri="{FF2B5EF4-FFF2-40B4-BE49-F238E27FC236}">
              <a16:creationId xmlns:a16="http://schemas.microsoft.com/office/drawing/2014/main" id="{CDBF77F3-B968-4700-BF6D-47382C4B6923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2565" name="Isosceles Triangle 2564">
          <a:extLst>
            <a:ext uri="{FF2B5EF4-FFF2-40B4-BE49-F238E27FC236}">
              <a16:creationId xmlns:a16="http://schemas.microsoft.com/office/drawing/2014/main" id="{4A9E705F-D93A-4141-B849-5121DCC6005F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2566" name="Isosceles Triangle 2565">
          <a:extLst>
            <a:ext uri="{FF2B5EF4-FFF2-40B4-BE49-F238E27FC236}">
              <a16:creationId xmlns:a16="http://schemas.microsoft.com/office/drawing/2014/main" id="{D34F049E-D451-4CF5-B526-9A490242A7EE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2567" name="Isosceles Triangle 2566">
          <a:extLst>
            <a:ext uri="{FF2B5EF4-FFF2-40B4-BE49-F238E27FC236}">
              <a16:creationId xmlns:a16="http://schemas.microsoft.com/office/drawing/2014/main" id="{686CDCEB-914D-4FF9-BBFC-F039B66F917E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2568" name="Isosceles Triangle 2567">
          <a:extLst>
            <a:ext uri="{FF2B5EF4-FFF2-40B4-BE49-F238E27FC236}">
              <a16:creationId xmlns:a16="http://schemas.microsoft.com/office/drawing/2014/main" id="{B98E9F4E-66E3-485F-A7AC-493890D751B3}"/>
            </a:ext>
          </a:extLst>
        </xdr:cNvPr>
        <xdr:cNvSpPr/>
      </xdr:nvSpPr>
      <xdr:spPr>
        <a:xfrm rot="10800000">
          <a:off x="14088917" y="3042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69</xdr:row>
      <xdr:rowOff>196272</xdr:rowOff>
    </xdr:from>
    <xdr:to>
      <xdr:col>8</xdr:col>
      <xdr:colOff>2320636</xdr:colOff>
      <xdr:row>69</xdr:row>
      <xdr:rowOff>346363</xdr:rowOff>
    </xdr:to>
    <xdr:sp macro="" textlink="">
      <xdr:nvSpPr>
        <xdr:cNvPr id="2569" name="Isosceles Triangle 2568">
          <a:extLst>
            <a:ext uri="{FF2B5EF4-FFF2-40B4-BE49-F238E27FC236}">
              <a16:creationId xmlns:a16="http://schemas.microsoft.com/office/drawing/2014/main" id="{64DA10CC-1A1B-49FE-BEA7-017BDBE2C34A}"/>
            </a:ext>
          </a:extLst>
        </xdr:cNvPr>
        <xdr:cNvSpPr/>
      </xdr:nvSpPr>
      <xdr:spPr>
        <a:xfrm rot="10800000">
          <a:off x="106218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2570" name="Isosceles Triangle 2569">
          <a:extLst>
            <a:ext uri="{FF2B5EF4-FFF2-40B4-BE49-F238E27FC236}">
              <a16:creationId xmlns:a16="http://schemas.microsoft.com/office/drawing/2014/main" id="{2ECF8F6C-C7AA-41CB-8A35-8334344224FF}"/>
            </a:ext>
          </a:extLst>
        </xdr:cNvPr>
        <xdr:cNvSpPr/>
      </xdr:nvSpPr>
      <xdr:spPr>
        <a:xfrm rot="10800000">
          <a:off x="140889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69</xdr:row>
      <xdr:rowOff>196272</xdr:rowOff>
    </xdr:from>
    <xdr:to>
      <xdr:col>8</xdr:col>
      <xdr:colOff>2320636</xdr:colOff>
      <xdr:row>69</xdr:row>
      <xdr:rowOff>346363</xdr:rowOff>
    </xdr:to>
    <xdr:sp macro="" textlink="">
      <xdr:nvSpPr>
        <xdr:cNvPr id="2571" name="Isosceles Triangle 2570">
          <a:extLst>
            <a:ext uri="{FF2B5EF4-FFF2-40B4-BE49-F238E27FC236}">
              <a16:creationId xmlns:a16="http://schemas.microsoft.com/office/drawing/2014/main" id="{AB3A7A34-1DB9-4A85-90AB-3FE0B92593FA}"/>
            </a:ext>
          </a:extLst>
        </xdr:cNvPr>
        <xdr:cNvSpPr/>
      </xdr:nvSpPr>
      <xdr:spPr>
        <a:xfrm rot="10800000">
          <a:off x="106218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69</xdr:row>
      <xdr:rowOff>196272</xdr:rowOff>
    </xdr:from>
    <xdr:to>
      <xdr:col>8</xdr:col>
      <xdr:colOff>2320636</xdr:colOff>
      <xdr:row>69</xdr:row>
      <xdr:rowOff>346363</xdr:rowOff>
    </xdr:to>
    <xdr:sp macro="" textlink="">
      <xdr:nvSpPr>
        <xdr:cNvPr id="2572" name="Isosceles Triangle 2571">
          <a:extLst>
            <a:ext uri="{FF2B5EF4-FFF2-40B4-BE49-F238E27FC236}">
              <a16:creationId xmlns:a16="http://schemas.microsoft.com/office/drawing/2014/main" id="{DA1CFB10-3B6C-46FB-BFC8-59467F265F63}"/>
            </a:ext>
          </a:extLst>
        </xdr:cNvPr>
        <xdr:cNvSpPr/>
      </xdr:nvSpPr>
      <xdr:spPr>
        <a:xfrm rot="10800000">
          <a:off x="106218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69</xdr:row>
      <xdr:rowOff>196272</xdr:rowOff>
    </xdr:from>
    <xdr:to>
      <xdr:col>8</xdr:col>
      <xdr:colOff>2320636</xdr:colOff>
      <xdr:row>69</xdr:row>
      <xdr:rowOff>346363</xdr:rowOff>
    </xdr:to>
    <xdr:sp macro="" textlink="">
      <xdr:nvSpPr>
        <xdr:cNvPr id="2573" name="Isosceles Triangle 2572">
          <a:extLst>
            <a:ext uri="{FF2B5EF4-FFF2-40B4-BE49-F238E27FC236}">
              <a16:creationId xmlns:a16="http://schemas.microsoft.com/office/drawing/2014/main" id="{95F762BE-96FD-48F6-B126-9761061E2FFC}"/>
            </a:ext>
          </a:extLst>
        </xdr:cNvPr>
        <xdr:cNvSpPr/>
      </xdr:nvSpPr>
      <xdr:spPr>
        <a:xfrm rot="10800000">
          <a:off x="106218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2574" name="Isosceles Triangle 2573">
          <a:extLst>
            <a:ext uri="{FF2B5EF4-FFF2-40B4-BE49-F238E27FC236}">
              <a16:creationId xmlns:a16="http://schemas.microsoft.com/office/drawing/2014/main" id="{5E9DF72C-04CD-4A63-B9F4-6C6C93FBDE92}"/>
            </a:ext>
          </a:extLst>
        </xdr:cNvPr>
        <xdr:cNvSpPr/>
      </xdr:nvSpPr>
      <xdr:spPr>
        <a:xfrm rot="10800000">
          <a:off x="140889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2575" name="Isosceles Triangle 2574">
          <a:extLst>
            <a:ext uri="{FF2B5EF4-FFF2-40B4-BE49-F238E27FC236}">
              <a16:creationId xmlns:a16="http://schemas.microsoft.com/office/drawing/2014/main" id="{0354E555-5228-4F02-A8E0-982477A9A9DB}"/>
            </a:ext>
          </a:extLst>
        </xdr:cNvPr>
        <xdr:cNvSpPr/>
      </xdr:nvSpPr>
      <xdr:spPr>
        <a:xfrm rot="10800000">
          <a:off x="140889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2576" name="Isosceles Triangle 2575">
          <a:extLst>
            <a:ext uri="{FF2B5EF4-FFF2-40B4-BE49-F238E27FC236}">
              <a16:creationId xmlns:a16="http://schemas.microsoft.com/office/drawing/2014/main" id="{7F98BEE7-2CBB-4534-BB39-4E3D904CA438}"/>
            </a:ext>
          </a:extLst>
        </xdr:cNvPr>
        <xdr:cNvSpPr/>
      </xdr:nvSpPr>
      <xdr:spPr>
        <a:xfrm rot="10800000">
          <a:off x="140889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2577" name="Isosceles Triangle 2576">
          <a:extLst>
            <a:ext uri="{FF2B5EF4-FFF2-40B4-BE49-F238E27FC236}">
              <a16:creationId xmlns:a16="http://schemas.microsoft.com/office/drawing/2014/main" id="{FACAEB73-2FB5-4551-ADDC-62F57CB2D19F}"/>
            </a:ext>
          </a:extLst>
        </xdr:cNvPr>
        <xdr:cNvSpPr/>
      </xdr:nvSpPr>
      <xdr:spPr>
        <a:xfrm rot="10800000">
          <a:off x="140889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2578" name="Isosceles Triangle 2577">
          <a:extLst>
            <a:ext uri="{FF2B5EF4-FFF2-40B4-BE49-F238E27FC236}">
              <a16:creationId xmlns:a16="http://schemas.microsoft.com/office/drawing/2014/main" id="{FF2AD0B2-FAF4-4CB6-806B-1ABB37485DBF}"/>
            </a:ext>
          </a:extLst>
        </xdr:cNvPr>
        <xdr:cNvSpPr/>
      </xdr:nvSpPr>
      <xdr:spPr>
        <a:xfrm rot="10800000">
          <a:off x="140889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2579" name="Isosceles Triangle 2578">
          <a:extLst>
            <a:ext uri="{FF2B5EF4-FFF2-40B4-BE49-F238E27FC236}">
              <a16:creationId xmlns:a16="http://schemas.microsoft.com/office/drawing/2014/main" id="{ED4F02D6-C9FC-4154-BAD8-1D2F3B55F22A}"/>
            </a:ext>
          </a:extLst>
        </xdr:cNvPr>
        <xdr:cNvSpPr/>
      </xdr:nvSpPr>
      <xdr:spPr>
        <a:xfrm rot="10800000">
          <a:off x="14088917" y="378517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68</xdr:row>
      <xdr:rowOff>196272</xdr:rowOff>
    </xdr:from>
    <xdr:to>
      <xdr:col>8</xdr:col>
      <xdr:colOff>2320636</xdr:colOff>
      <xdr:row>68</xdr:row>
      <xdr:rowOff>346363</xdr:rowOff>
    </xdr:to>
    <xdr:sp macro="" textlink="">
      <xdr:nvSpPr>
        <xdr:cNvPr id="2580" name="Isosceles Triangle 2579">
          <a:extLst>
            <a:ext uri="{FF2B5EF4-FFF2-40B4-BE49-F238E27FC236}">
              <a16:creationId xmlns:a16="http://schemas.microsoft.com/office/drawing/2014/main" id="{BA924F46-316A-402D-974B-9D2853E4EFE4}"/>
            </a:ext>
          </a:extLst>
        </xdr:cNvPr>
        <xdr:cNvSpPr/>
      </xdr:nvSpPr>
      <xdr:spPr>
        <a:xfrm rot="10800000">
          <a:off x="106218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68</xdr:row>
      <xdr:rowOff>196272</xdr:rowOff>
    </xdr:from>
    <xdr:to>
      <xdr:col>8</xdr:col>
      <xdr:colOff>2320636</xdr:colOff>
      <xdr:row>68</xdr:row>
      <xdr:rowOff>346363</xdr:rowOff>
    </xdr:to>
    <xdr:sp macro="" textlink="">
      <xdr:nvSpPr>
        <xdr:cNvPr id="2581" name="Isosceles Triangle 2580">
          <a:extLst>
            <a:ext uri="{FF2B5EF4-FFF2-40B4-BE49-F238E27FC236}">
              <a16:creationId xmlns:a16="http://schemas.microsoft.com/office/drawing/2014/main" id="{CC16110B-90EC-476B-8DE0-6E5E5BC56F58}"/>
            </a:ext>
          </a:extLst>
        </xdr:cNvPr>
        <xdr:cNvSpPr/>
      </xdr:nvSpPr>
      <xdr:spPr>
        <a:xfrm rot="10800000">
          <a:off x="106218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82" name="Isosceles Triangle 2581">
          <a:extLst>
            <a:ext uri="{FF2B5EF4-FFF2-40B4-BE49-F238E27FC236}">
              <a16:creationId xmlns:a16="http://schemas.microsoft.com/office/drawing/2014/main" id="{43B538AF-6AC7-49C9-845A-D982BDC4622F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83" name="Isosceles Triangle 2582">
          <a:extLst>
            <a:ext uri="{FF2B5EF4-FFF2-40B4-BE49-F238E27FC236}">
              <a16:creationId xmlns:a16="http://schemas.microsoft.com/office/drawing/2014/main" id="{26C6215B-804A-432C-9646-4DB4B91A5D94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84" name="Isosceles Triangle 2583">
          <a:extLst>
            <a:ext uri="{FF2B5EF4-FFF2-40B4-BE49-F238E27FC236}">
              <a16:creationId xmlns:a16="http://schemas.microsoft.com/office/drawing/2014/main" id="{748B6E85-A1A9-4845-965C-759B31F03E2E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85" name="Isosceles Triangle 2584">
          <a:extLst>
            <a:ext uri="{FF2B5EF4-FFF2-40B4-BE49-F238E27FC236}">
              <a16:creationId xmlns:a16="http://schemas.microsoft.com/office/drawing/2014/main" id="{5D232B83-D377-4AFD-B6BD-9E8366DC7D81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86" name="Isosceles Triangle 2585">
          <a:extLst>
            <a:ext uri="{FF2B5EF4-FFF2-40B4-BE49-F238E27FC236}">
              <a16:creationId xmlns:a16="http://schemas.microsoft.com/office/drawing/2014/main" id="{EBEBA31B-CF5C-4EDF-8752-0E1F9E4A1BFB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87" name="Isosceles Triangle 2586">
          <a:extLst>
            <a:ext uri="{FF2B5EF4-FFF2-40B4-BE49-F238E27FC236}">
              <a16:creationId xmlns:a16="http://schemas.microsoft.com/office/drawing/2014/main" id="{952DE6C7-C61A-4C71-805B-DE5CF21B05F3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88" name="Isosceles Triangle 2587">
          <a:extLst>
            <a:ext uri="{FF2B5EF4-FFF2-40B4-BE49-F238E27FC236}">
              <a16:creationId xmlns:a16="http://schemas.microsoft.com/office/drawing/2014/main" id="{EE6888F2-FFDC-47C1-8872-9CFC2A105EF2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89" name="Isosceles Triangle 2588">
          <a:extLst>
            <a:ext uri="{FF2B5EF4-FFF2-40B4-BE49-F238E27FC236}">
              <a16:creationId xmlns:a16="http://schemas.microsoft.com/office/drawing/2014/main" id="{487DE274-CC05-47E3-86B5-DA874BC16AD5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90" name="Isosceles Triangle 2589">
          <a:extLst>
            <a:ext uri="{FF2B5EF4-FFF2-40B4-BE49-F238E27FC236}">
              <a16:creationId xmlns:a16="http://schemas.microsoft.com/office/drawing/2014/main" id="{E9332B8F-FC32-475E-9A9D-21D0F01B15A6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91" name="Isosceles Triangle 2590">
          <a:extLst>
            <a:ext uri="{FF2B5EF4-FFF2-40B4-BE49-F238E27FC236}">
              <a16:creationId xmlns:a16="http://schemas.microsoft.com/office/drawing/2014/main" id="{A17CB952-5485-45C8-833F-F9A9E702675C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92" name="Isosceles Triangle 2591">
          <a:extLst>
            <a:ext uri="{FF2B5EF4-FFF2-40B4-BE49-F238E27FC236}">
              <a16:creationId xmlns:a16="http://schemas.microsoft.com/office/drawing/2014/main" id="{C7715FFB-C5EB-41B0-9076-3D3B8CDA0036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93" name="Isosceles Triangle 2592">
          <a:extLst>
            <a:ext uri="{FF2B5EF4-FFF2-40B4-BE49-F238E27FC236}">
              <a16:creationId xmlns:a16="http://schemas.microsoft.com/office/drawing/2014/main" id="{4E7F2A06-17DA-4D09-958F-34C0F137667E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94" name="Isosceles Triangle 2593">
          <a:extLst>
            <a:ext uri="{FF2B5EF4-FFF2-40B4-BE49-F238E27FC236}">
              <a16:creationId xmlns:a16="http://schemas.microsoft.com/office/drawing/2014/main" id="{D42421DF-BB84-4CBE-BF0D-A7381D2F63B4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95" name="Isosceles Triangle 2594">
          <a:extLst>
            <a:ext uri="{FF2B5EF4-FFF2-40B4-BE49-F238E27FC236}">
              <a16:creationId xmlns:a16="http://schemas.microsoft.com/office/drawing/2014/main" id="{618F1735-4BAD-4815-8330-E2E5CF373C50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96" name="Isosceles Triangle 2595">
          <a:extLst>
            <a:ext uri="{FF2B5EF4-FFF2-40B4-BE49-F238E27FC236}">
              <a16:creationId xmlns:a16="http://schemas.microsoft.com/office/drawing/2014/main" id="{073F63E3-1D4D-45FF-95D5-62C2A3283B3F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597" name="Isosceles Triangle 2596">
          <a:extLst>
            <a:ext uri="{FF2B5EF4-FFF2-40B4-BE49-F238E27FC236}">
              <a16:creationId xmlns:a16="http://schemas.microsoft.com/office/drawing/2014/main" id="{52F6D345-D025-48E1-8278-92AD27D693E4}"/>
            </a:ext>
          </a:extLst>
        </xdr:cNvPr>
        <xdr:cNvSpPr/>
      </xdr:nvSpPr>
      <xdr:spPr>
        <a:xfrm rot="10800000">
          <a:off x="14088917" y="37280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1965960</xdr:colOff>
      <xdr:row>25</xdr:row>
      <xdr:rowOff>99059</xdr:rowOff>
    </xdr:from>
    <xdr:to>
      <xdr:col>1</xdr:col>
      <xdr:colOff>2087880</xdr:colOff>
      <xdr:row>25</xdr:row>
      <xdr:rowOff>195810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828E7761-E467-4836-9157-92E95BE82989}"/>
            </a:ext>
          </a:extLst>
        </xdr:cNvPr>
        <xdr:cNvSpPr/>
      </xdr:nvSpPr>
      <xdr:spPr>
        <a:xfrm rot="10800000">
          <a:off x="2979420" y="7909559"/>
          <a:ext cx="121920" cy="9675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1965960</xdr:colOff>
      <xdr:row>26</xdr:row>
      <xdr:rowOff>99059</xdr:rowOff>
    </xdr:from>
    <xdr:to>
      <xdr:col>1</xdr:col>
      <xdr:colOff>2087880</xdr:colOff>
      <xdr:row>26</xdr:row>
      <xdr:rowOff>195810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8A1C73DB-89A5-4F80-AD5A-CE025BE29142}"/>
            </a:ext>
          </a:extLst>
        </xdr:cNvPr>
        <xdr:cNvSpPr/>
      </xdr:nvSpPr>
      <xdr:spPr>
        <a:xfrm rot="10800000">
          <a:off x="2979420" y="7909559"/>
          <a:ext cx="121920" cy="9675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1965960</xdr:colOff>
      <xdr:row>27</xdr:row>
      <xdr:rowOff>99059</xdr:rowOff>
    </xdr:from>
    <xdr:to>
      <xdr:col>1</xdr:col>
      <xdr:colOff>2087880</xdr:colOff>
      <xdr:row>27</xdr:row>
      <xdr:rowOff>195810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7D8BF383-ACCE-4B50-A54E-7E86056D0C26}"/>
            </a:ext>
          </a:extLst>
        </xdr:cNvPr>
        <xdr:cNvSpPr/>
      </xdr:nvSpPr>
      <xdr:spPr>
        <a:xfrm rot="10800000">
          <a:off x="2979420" y="7909559"/>
          <a:ext cx="121920" cy="9675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1965960</xdr:colOff>
      <xdr:row>28</xdr:row>
      <xdr:rowOff>99059</xdr:rowOff>
    </xdr:from>
    <xdr:to>
      <xdr:col>1</xdr:col>
      <xdr:colOff>2087880</xdr:colOff>
      <xdr:row>28</xdr:row>
      <xdr:rowOff>195810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24A5CAE1-4FBE-4584-B78E-D9DDD3E93CEC}"/>
            </a:ext>
          </a:extLst>
        </xdr:cNvPr>
        <xdr:cNvSpPr/>
      </xdr:nvSpPr>
      <xdr:spPr>
        <a:xfrm rot="10800000">
          <a:off x="2979420" y="7909559"/>
          <a:ext cx="121920" cy="9675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1965960</xdr:colOff>
      <xdr:row>29</xdr:row>
      <xdr:rowOff>99059</xdr:rowOff>
    </xdr:from>
    <xdr:to>
      <xdr:col>1</xdr:col>
      <xdr:colOff>2087880</xdr:colOff>
      <xdr:row>29</xdr:row>
      <xdr:rowOff>195810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6E308BD6-80B6-44A3-95C8-88482C5F37FB}"/>
            </a:ext>
          </a:extLst>
        </xdr:cNvPr>
        <xdr:cNvSpPr/>
      </xdr:nvSpPr>
      <xdr:spPr>
        <a:xfrm rot="10800000">
          <a:off x="2979420" y="8846819"/>
          <a:ext cx="121920" cy="9675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145</xdr:col>
      <xdr:colOff>551703</xdr:colOff>
      <xdr:row>0</xdr:row>
      <xdr:rowOff>-96766563</xdr:rowOff>
    </xdr:from>
    <xdr:to>
      <xdr:col>146</xdr:col>
      <xdr:colOff>227110</xdr:colOff>
      <xdr:row>6</xdr:row>
      <xdr:rowOff>214260</xdr:rowOff>
    </xdr:to>
    <xdr:sp macro="" textlink="">
      <xdr:nvSpPr>
        <xdr:cNvPr id="4" name="Rectangle: Top Corners Rounded 3">
          <a:extLst>
            <a:ext uri="{FF2B5EF4-FFF2-40B4-BE49-F238E27FC236}">
              <a16:creationId xmlns:a16="http://schemas.microsoft.com/office/drawing/2014/main" id="{6EE6510C-74AC-438B-A865-16AD5E55F11D}"/>
            </a:ext>
          </a:extLst>
        </xdr:cNvPr>
        <xdr:cNvSpPr/>
      </xdr:nvSpPr>
      <xdr:spPr>
        <a:xfrm rot="5400000">
          <a:off x="50958995" y="-47515141"/>
          <a:ext cx="98787852" cy="285007"/>
        </a:xfrm>
        <a:prstGeom prst="round2SameRect">
          <a:avLst>
            <a:gd name="adj1" fmla="val 5197"/>
            <a:gd name="adj2" fmla="val 20228"/>
          </a:avLst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</xdr:row>
      <xdr:rowOff>196272</xdr:rowOff>
    </xdr:from>
    <xdr:to>
      <xdr:col>8</xdr:col>
      <xdr:colOff>2320636</xdr:colOff>
      <xdr:row>8</xdr:row>
      <xdr:rowOff>346363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B815D270-B292-429C-AAFD-C88A7F777561}"/>
            </a:ext>
          </a:extLst>
        </xdr:cNvPr>
        <xdr:cNvSpPr/>
      </xdr:nvSpPr>
      <xdr:spPr>
        <a:xfrm rot="10800000">
          <a:off x="10788731" y="3200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</xdr:row>
      <xdr:rowOff>196272</xdr:rowOff>
    </xdr:from>
    <xdr:to>
      <xdr:col>8</xdr:col>
      <xdr:colOff>2320636</xdr:colOff>
      <xdr:row>9</xdr:row>
      <xdr:rowOff>346363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F1756B1F-7B93-4A64-B458-63BD9E95C6B4}"/>
            </a:ext>
          </a:extLst>
        </xdr:cNvPr>
        <xdr:cNvSpPr/>
      </xdr:nvSpPr>
      <xdr:spPr>
        <a:xfrm rot="10800000">
          <a:off x="10788731" y="3777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</xdr:row>
      <xdr:rowOff>196272</xdr:rowOff>
    </xdr:from>
    <xdr:to>
      <xdr:col>8</xdr:col>
      <xdr:colOff>2320636</xdr:colOff>
      <xdr:row>10</xdr:row>
      <xdr:rowOff>346363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EE15BA6A-1BE1-4999-A9C6-7C5094AA19D1}"/>
            </a:ext>
          </a:extLst>
        </xdr:cNvPr>
        <xdr:cNvSpPr/>
      </xdr:nvSpPr>
      <xdr:spPr>
        <a:xfrm rot="10800000">
          <a:off x="10788731" y="4354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</xdr:row>
      <xdr:rowOff>196272</xdr:rowOff>
    </xdr:from>
    <xdr:to>
      <xdr:col>8</xdr:col>
      <xdr:colOff>2320636</xdr:colOff>
      <xdr:row>11</xdr:row>
      <xdr:rowOff>346363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3AE026AC-48B3-4104-9AE9-B5B825D247CA}"/>
            </a:ext>
          </a:extLst>
        </xdr:cNvPr>
        <xdr:cNvSpPr/>
      </xdr:nvSpPr>
      <xdr:spPr>
        <a:xfrm rot="10800000">
          <a:off x="10788731" y="4931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</xdr:row>
      <xdr:rowOff>196272</xdr:rowOff>
    </xdr:from>
    <xdr:to>
      <xdr:col>8</xdr:col>
      <xdr:colOff>2320636</xdr:colOff>
      <xdr:row>12</xdr:row>
      <xdr:rowOff>346363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6DEC734D-2C5C-46A3-8623-43C9B862F8D1}"/>
            </a:ext>
          </a:extLst>
        </xdr:cNvPr>
        <xdr:cNvSpPr/>
      </xdr:nvSpPr>
      <xdr:spPr>
        <a:xfrm rot="10800000">
          <a:off x="10788731" y="5508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</xdr:row>
      <xdr:rowOff>196272</xdr:rowOff>
    </xdr:from>
    <xdr:to>
      <xdr:col>10</xdr:col>
      <xdr:colOff>2320636</xdr:colOff>
      <xdr:row>8</xdr:row>
      <xdr:rowOff>346363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382D2E60-7328-4FFF-8C0D-3E19ACC61CBE}"/>
            </a:ext>
          </a:extLst>
        </xdr:cNvPr>
        <xdr:cNvSpPr/>
      </xdr:nvSpPr>
      <xdr:spPr>
        <a:xfrm rot="10800000">
          <a:off x="14250388" y="3200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</xdr:row>
      <xdr:rowOff>196272</xdr:rowOff>
    </xdr:from>
    <xdr:to>
      <xdr:col>10</xdr:col>
      <xdr:colOff>2320636</xdr:colOff>
      <xdr:row>9</xdr:row>
      <xdr:rowOff>346363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D1013AD6-4226-43F0-8930-A069C6EC8C98}"/>
            </a:ext>
          </a:extLst>
        </xdr:cNvPr>
        <xdr:cNvSpPr/>
      </xdr:nvSpPr>
      <xdr:spPr>
        <a:xfrm rot="10800000">
          <a:off x="14250388" y="3777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</xdr:row>
      <xdr:rowOff>196272</xdr:rowOff>
    </xdr:from>
    <xdr:to>
      <xdr:col>10</xdr:col>
      <xdr:colOff>2320636</xdr:colOff>
      <xdr:row>10</xdr:row>
      <xdr:rowOff>346363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id="{92FDDD52-3BAE-4600-BFEC-51F41C9412B8}"/>
            </a:ext>
          </a:extLst>
        </xdr:cNvPr>
        <xdr:cNvSpPr/>
      </xdr:nvSpPr>
      <xdr:spPr>
        <a:xfrm rot="10800000">
          <a:off x="14250388" y="4354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</xdr:row>
      <xdr:rowOff>196272</xdr:rowOff>
    </xdr:from>
    <xdr:to>
      <xdr:col>10</xdr:col>
      <xdr:colOff>2320636</xdr:colOff>
      <xdr:row>11</xdr:row>
      <xdr:rowOff>346363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8F0B06C0-CFD0-407F-9754-052C05930012}"/>
            </a:ext>
          </a:extLst>
        </xdr:cNvPr>
        <xdr:cNvSpPr/>
      </xdr:nvSpPr>
      <xdr:spPr>
        <a:xfrm rot="10800000">
          <a:off x="14250388" y="4931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</xdr:row>
      <xdr:rowOff>196272</xdr:rowOff>
    </xdr:from>
    <xdr:to>
      <xdr:col>10</xdr:col>
      <xdr:colOff>2320636</xdr:colOff>
      <xdr:row>12</xdr:row>
      <xdr:rowOff>346363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6C960DAD-603C-4D0A-9B50-3D21A54535C2}"/>
            </a:ext>
          </a:extLst>
        </xdr:cNvPr>
        <xdr:cNvSpPr/>
      </xdr:nvSpPr>
      <xdr:spPr>
        <a:xfrm rot="10800000">
          <a:off x="14250388" y="5508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</xdr:row>
      <xdr:rowOff>196272</xdr:rowOff>
    </xdr:from>
    <xdr:to>
      <xdr:col>8</xdr:col>
      <xdr:colOff>2320636</xdr:colOff>
      <xdr:row>14</xdr:row>
      <xdr:rowOff>346363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48CCB044-DD96-4EAA-85B8-B6E981436EA2}"/>
            </a:ext>
          </a:extLst>
        </xdr:cNvPr>
        <xdr:cNvSpPr/>
      </xdr:nvSpPr>
      <xdr:spPr>
        <a:xfrm rot="10800000">
          <a:off x="10788731" y="6662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</xdr:row>
      <xdr:rowOff>196272</xdr:rowOff>
    </xdr:from>
    <xdr:to>
      <xdr:col>8</xdr:col>
      <xdr:colOff>2320636</xdr:colOff>
      <xdr:row>15</xdr:row>
      <xdr:rowOff>346363</xdr:rowOff>
    </xdr:to>
    <xdr:sp macro="" textlink="">
      <xdr:nvSpPr>
        <xdr:cNvPr id="20" name="Isosceles Triangle 19">
          <a:extLst>
            <a:ext uri="{FF2B5EF4-FFF2-40B4-BE49-F238E27FC236}">
              <a16:creationId xmlns:a16="http://schemas.microsoft.com/office/drawing/2014/main" id="{B94225E1-DFC7-476E-A155-A70BA68FE551}"/>
            </a:ext>
          </a:extLst>
        </xdr:cNvPr>
        <xdr:cNvSpPr/>
      </xdr:nvSpPr>
      <xdr:spPr>
        <a:xfrm rot="10800000">
          <a:off x="10788731" y="7239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</xdr:row>
      <xdr:rowOff>196272</xdr:rowOff>
    </xdr:from>
    <xdr:to>
      <xdr:col>8</xdr:col>
      <xdr:colOff>2320636</xdr:colOff>
      <xdr:row>16</xdr:row>
      <xdr:rowOff>346363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8C80979B-91A5-4EA9-8E2B-7F5293F277B2}"/>
            </a:ext>
          </a:extLst>
        </xdr:cNvPr>
        <xdr:cNvSpPr/>
      </xdr:nvSpPr>
      <xdr:spPr>
        <a:xfrm rot="10800000">
          <a:off x="10788731" y="781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</xdr:row>
      <xdr:rowOff>196272</xdr:rowOff>
    </xdr:from>
    <xdr:to>
      <xdr:col>8</xdr:col>
      <xdr:colOff>2320636</xdr:colOff>
      <xdr:row>17</xdr:row>
      <xdr:rowOff>346363</xdr:rowOff>
    </xdr:to>
    <xdr:sp macro="" textlink="">
      <xdr:nvSpPr>
        <xdr:cNvPr id="22" name="Isosceles Triangle 21">
          <a:extLst>
            <a:ext uri="{FF2B5EF4-FFF2-40B4-BE49-F238E27FC236}">
              <a16:creationId xmlns:a16="http://schemas.microsoft.com/office/drawing/2014/main" id="{653C06D9-9A3B-47A1-A395-69D9C3700371}"/>
            </a:ext>
          </a:extLst>
        </xdr:cNvPr>
        <xdr:cNvSpPr/>
      </xdr:nvSpPr>
      <xdr:spPr>
        <a:xfrm rot="10800000">
          <a:off x="10788731" y="83932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18</xdr:row>
      <xdr:rowOff>196272</xdr:rowOff>
    </xdr:from>
    <xdr:to>
      <xdr:col>8</xdr:col>
      <xdr:colOff>2320636</xdr:colOff>
      <xdr:row>18</xdr:row>
      <xdr:rowOff>346363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B6D934C1-5A5D-475A-BF68-4F410624F254}"/>
            </a:ext>
          </a:extLst>
        </xdr:cNvPr>
        <xdr:cNvSpPr/>
      </xdr:nvSpPr>
      <xdr:spPr>
        <a:xfrm rot="10800000">
          <a:off x="10788731" y="89701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</xdr:row>
      <xdr:rowOff>196272</xdr:rowOff>
    </xdr:from>
    <xdr:to>
      <xdr:col>10</xdr:col>
      <xdr:colOff>2320636</xdr:colOff>
      <xdr:row>14</xdr:row>
      <xdr:rowOff>346363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26DAA7C9-8EF4-4FF8-8AB8-2C681B417269}"/>
            </a:ext>
          </a:extLst>
        </xdr:cNvPr>
        <xdr:cNvSpPr/>
      </xdr:nvSpPr>
      <xdr:spPr>
        <a:xfrm rot="10800000">
          <a:off x="14250388" y="6662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</xdr:row>
      <xdr:rowOff>196272</xdr:rowOff>
    </xdr:from>
    <xdr:to>
      <xdr:col>10</xdr:col>
      <xdr:colOff>2320636</xdr:colOff>
      <xdr:row>15</xdr:row>
      <xdr:rowOff>346363</xdr:rowOff>
    </xdr:to>
    <xdr:sp macro="" textlink="">
      <xdr:nvSpPr>
        <xdr:cNvPr id="25" name="Isosceles Triangle 24">
          <a:extLst>
            <a:ext uri="{FF2B5EF4-FFF2-40B4-BE49-F238E27FC236}">
              <a16:creationId xmlns:a16="http://schemas.microsoft.com/office/drawing/2014/main" id="{125DF430-24FD-4707-B265-C1A66950C6AF}"/>
            </a:ext>
          </a:extLst>
        </xdr:cNvPr>
        <xdr:cNvSpPr/>
      </xdr:nvSpPr>
      <xdr:spPr>
        <a:xfrm rot="10800000">
          <a:off x="14250388" y="7239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</xdr:row>
      <xdr:rowOff>196272</xdr:rowOff>
    </xdr:from>
    <xdr:to>
      <xdr:col>10</xdr:col>
      <xdr:colOff>2320636</xdr:colOff>
      <xdr:row>16</xdr:row>
      <xdr:rowOff>346363</xdr:rowOff>
    </xdr:to>
    <xdr:sp macro="" textlink="">
      <xdr:nvSpPr>
        <xdr:cNvPr id="26" name="Isosceles Triangle 25">
          <a:extLst>
            <a:ext uri="{FF2B5EF4-FFF2-40B4-BE49-F238E27FC236}">
              <a16:creationId xmlns:a16="http://schemas.microsoft.com/office/drawing/2014/main" id="{6CA8EE8C-9DA9-43C2-91DA-BB6D1E1B6F6D}"/>
            </a:ext>
          </a:extLst>
        </xdr:cNvPr>
        <xdr:cNvSpPr/>
      </xdr:nvSpPr>
      <xdr:spPr>
        <a:xfrm rot="10800000">
          <a:off x="14250388" y="781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</xdr:row>
      <xdr:rowOff>196272</xdr:rowOff>
    </xdr:from>
    <xdr:to>
      <xdr:col>10</xdr:col>
      <xdr:colOff>2320636</xdr:colOff>
      <xdr:row>17</xdr:row>
      <xdr:rowOff>346363</xdr:rowOff>
    </xdr:to>
    <xdr:sp macro="" textlink="">
      <xdr:nvSpPr>
        <xdr:cNvPr id="27" name="Isosceles Triangle 26">
          <a:extLst>
            <a:ext uri="{FF2B5EF4-FFF2-40B4-BE49-F238E27FC236}">
              <a16:creationId xmlns:a16="http://schemas.microsoft.com/office/drawing/2014/main" id="{29CD4135-EA6D-4A29-83B3-7636843EF61A}"/>
            </a:ext>
          </a:extLst>
        </xdr:cNvPr>
        <xdr:cNvSpPr/>
      </xdr:nvSpPr>
      <xdr:spPr>
        <a:xfrm rot="10800000">
          <a:off x="14250388" y="83932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18</xdr:row>
      <xdr:rowOff>196272</xdr:rowOff>
    </xdr:from>
    <xdr:to>
      <xdr:col>10</xdr:col>
      <xdr:colOff>2320636</xdr:colOff>
      <xdr:row>18</xdr:row>
      <xdr:rowOff>346363</xdr:rowOff>
    </xdr:to>
    <xdr:sp macro="" textlink="">
      <xdr:nvSpPr>
        <xdr:cNvPr id="28" name="Isosceles Triangle 27">
          <a:extLst>
            <a:ext uri="{FF2B5EF4-FFF2-40B4-BE49-F238E27FC236}">
              <a16:creationId xmlns:a16="http://schemas.microsoft.com/office/drawing/2014/main" id="{2742D55F-5468-4171-9563-EB92D9A4FE09}"/>
            </a:ext>
          </a:extLst>
        </xdr:cNvPr>
        <xdr:cNvSpPr/>
      </xdr:nvSpPr>
      <xdr:spPr>
        <a:xfrm rot="10800000">
          <a:off x="14250388" y="89701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20</xdr:row>
      <xdr:rowOff>196272</xdr:rowOff>
    </xdr:from>
    <xdr:to>
      <xdr:col>8</xdr:col>
      <xdr:colOff>2320636</xdr:colOff>
      <xdr:row>20</xdr:row>
      <xdr:rowOff>346363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ED1ED8C4-1145-4B53-9655-D8D7059F49C3}"/>
            </a:ext>
          </a:extLst>
        </xdr:cNvPr>
        <xdr:cNvSpPr/>
      </xdr:nvSpPr>
      <xdr:spPr>
        <a:xfrm rot="10800000">
          <a:off x="10788731" y="10124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3E41A2CD-12BF-4ED2-97D5-09DCDC2B16AE}"/>
            </a:ext>
          </a:extLst>
        </xdr:cNvPr>
        <xdr:cNvSpPr/>
      </xdr:nvSpPr>
      <xdr:spPr>
        <a:xfrm rot="10800000">
          <a:off x="10788731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127C1742-D5F2-4C28-80A8-A19C056FF557}"/>
            </a:ext>
          </a:extLst>
        </xdr:cNvPr>
        <xdr:cNvSpPr/>
      </xdr:nvSpPr>
      <xdr:spPr>
        <a:xfrm rot="10800000">
          <a:off x="10788731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23</xdr:row>
      <xdr:rowOff>196272</xdr:rowOff>
    </xdr:from>
    <xdr:to>
      <xdr:col>8</xdr:col>
      <xdr:colOff>2320636</xdr:colOff>
      <xdr:row>23</xdr:row>
      <xdr:rowOff>346363</xdr:rowOff>
    </xdr:to>
    <xdr:sp macro="" textlink="">
      <xdr:nvSpPr>
        <xdr:cNvPr id="32" name="Isosceles Triangle 31">
          <a:extLst>
            <a:ext uri="{FF2B5EF4-FFF2-40B4-BE49-F238E27FC236}">
              <a16:creationId xmlns:a16="http://schemas.microsoft.com/office/drawing/2014/main" id="{E7EFE124-4002-4333-A5B4-30668001B62E}"/>
            </a:ext>
          </a:extLst>
        </xdr:cNvPr>
        <xdr:cNvSpPr/>
      </xdr:nvSpPr>
      <xdr:spPr>
        <a:xfrm rot="10800000">
          <a:off x="10788731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24</xdr:row>
      <xdr:rowOff>196272</xdr:rowOff>
    </xdr:from>
    <xdr:to>
      <xdr:col>8</xdr:col>
      <xdr:colOff>2320636</xdr:colOff>
      <xdr:row>24</xdr:row>
      <xdr:rowOff>346363</xdr:rowOff>
    </xdr:to>
    <xdr:sp macro="" textlink="">
      <xdr:nvSpPr>
        <xdr:cNvPr id="33" name="Isosceles Triangle 32">
          <a:extLst>
            <a:ext uri="{FF2B5EF4-FFF2-40B4-BE49-F238E27FC236}">
              <a16:creationId xmlns:a16="http://schemas.microsoft.com/office/drawing/2014/main" id="{989B9A19-892B-417B-80B4-41A5F47AACF7}"/>
            </a:ext>
          </a:extLst>
        </xdr:cNvPr>
        <xdr:cNvSpPr/>
      </xdr:nvSpPr>
      <xdr:spPr>
        <a:xfrm rot="10800000">
          <a:off x="10788731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20</xdr:row>
      <xdr:rowOff>196272</xdr:rowOff>
    </xdr:from>
    <xdr:to>
      <xdr:col>10</xdr:col>
      <xdr:colOff>2320636</xdr:colOff>
      <xdr:row>20</xdr:row>
      <xdr:rowOff>346363</xdr:rowOff>
    </xdr:to>
    <xdr:sp macro="" textlink="">
      <xdr:nvSpPr>
        <xdr:cNvPr id="34" name="Isosceles Triangle 33">
          <a:extLst>
            <a:ext uri="{FF2B5EF4-FFF2-40B4-BE49-F238E27FC236}">
              <a16:creationId xmlns:a16="http://schemas.microsoft.com/office/drawing/2014/main" id="{864858FE-44E9-426B-A560-38D23F5FFFE7}"/>
            </a:ext>
          </a:extLst>
        </xdr:cNvPr>
        <xdr:cNvSpPr/>
      </xdr:nvSpPr>
      <xdr:spPr>
        <a:xfrm rot="10800000">
          <a:off x="14250388" y="10124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58159B27-A0FF-4AAF-9222-94DC2DC1FA5B}"/>
            </a:ext>
          </a:extLst>
        </xdr:cNvPr>
        <xdr:cNvSpPr/>
      </xdr:nvSpPr>
      <xdr:spPr>
        <a:xfrm rot="10800000">
          <a:off x="14250388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AFAE7D4B-29E2-4502-9E6C-2A076C50489C}"/>
            </a:ext>
          </a:extLst>
        </xdr:cNvPr>
        <xdr:cNvSpPr/>
      </xdr:nvSpPr>
      <xdr:spPr>
        <a:xfrm rot="10800000">
          <a:off x="14250388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23</xdr:row>
      <xdr:rowOff>196272</xdr:rowOff>
    </xdr:from>
    <xdr:to>
      <xdr:col>10</xdr:col>
      <xdr:colOff>2320636</xdr:colOff>
      <xdr:row>23</xdr:row>
      <xdr:rowOff>346363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086ADFCB-2A64-45A1-B38B-BD651198968E}"/>
            </a:ext>
          </a:extLst>
        </xdr:cNvPr>
        <xdr:cNvSpPr/>
      </xdr:nvSpPr>
      <xdr:spPr>
        <a:xfrm rot="10800000">
          <a:off x="14250388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24</xdr:row>
      <xdr:rowOff>196272</xdr:rowOff>
    </xdr:from>
    <xdr:to>
      <xdr:col>10</xdr:col>
      <xdr:colOff>2320636</xdr:colOff>
      <xdr:row>24</xdr:row>
      <xdr:rowOff>346363</xdr:rowOff>
    </xdr:to>
    <xdr:sp macro="" textlink="">
      <xdr:nvSpPr>
        <xdr:cNvPr id="38" name="Isosceles Triangle 37">
          <a:extLst>
            <a:ext uri="{FF2B5EF4-FFF2-40B4-BE49-F238E27FC236}">
              <a16:creationId xmlns:a16="http://schemas.microsoft.com/office/drawing/2014/main" id="{16C8DA58-E3F0-457B-A96E-F9F7D4238AFB}"/>
            </a:ext>
          </a:extLst>
        </xdr:cNvPr>
        <xdr:cNvSpPr/>
      </xdr:nvSpPr>
      <xdr:spPr>
        <a:xfrm rot="10800000">
          <a:off x="14250388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39" name="Isosceles Triangle 38">
          <a:extLst>
            <a:ext uri="{FF2B5EF4-FFF2-40B4-BE49-F238E27FC236}">
              <a16:creationId xmlns:a16="http://schemas.microsoft.com/office/drawing/2014/main" id="{37188884-A9CD-4B01-B88C-82E9EF73C8F6}"/>
            </a:ext>
          </a:extLst>
        </xdr:cNvPr>
        <xdr:cNvSpPr/>
      </xdr:nvSpPr>
      <xdr:spPr>
        <a:xfrm rot="10800000">
          <a:off x="10788731" y="13585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27</xdr:row>
      <xdr:rowOff>196272</xdr:rowOff>
    </xdr:from>
    <xdr:to>
      <xdr:col>8</xdr:col>
      <xdr:colOff>2320636</xdr:colOff>
      <xdr:row>27</xdr:row>
      <xdr:rowOff>346363</xdr:rowOff>
    </xdr:to>
    <xdr:sp macro="" textlink="">
      <xdr:nvSpPr>
        <xdr:cNvPr id="40" name="Isosceles Triangle 39">
          <a:extLst>
            <a:ext uri="{FF2B5EF4-FFF2-40B4-BE49-F238E27FC236}">
              <a16:creationId xmlns:a16="http://schemas.microsoft.com/office/drawing/2014/main" id="{E52A02E6-4882-438B-8289-011E5683F4FF}"/>
            </a:ext>
          </a:extLst>
        </xdr:cNvPr>
        <xdr:cNvSpPr/>
      </xdr:nvSpPr>
      <xdr:spPr>
        <a:xfrm rot="10800000">
          <a:off x="10788731" y="14162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41" name="Isosceles Triangle 40">
          <a:extLst>
            <a:ext uri="{FF2B5EF4-FFF2-40B4-BE49-F238E27FC236}">
              <a16:creationId xmlns:a16="http://schemas.microsoft.com/office/drawing/2014/main" id="{45EE9AD7-5EE8-42C8-B87E-587B08479C14}"/>
            </a:ext>
          </a:extLst>
        </xdr:cNvPr>
        <xdr:cNvSpPr/>
      </xdr:nvSpPr>
      <xdr:spPr>
        <a:xfrm rot="10800000">
          <a:off x="10788731" y="14739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29</xdr:row>
      <xdr:rowOff>196272</xdr:rowOff>
    </xdr:from>
    <xdr:to>
      <xdr:col>8</xdr:col>
      <xdr:colOff>2320636</xdr:colOff>
      <xdr:row>29</xdr:row>
      <xdr:rowOff>346363</xdr:rowOff>
    </xdr:to>
    <xdr:sp macro="" textlink="">
      <xdr:nvSpPr>
        <xdr:cNvPr id="42" name="Isosceles Triangle 41">
          <a:extLst>
            <a:ext uri="{FF2B5EF4-FFF2-40B4-BE49-F238E27FC236}">
              <a16:creationId xmlns:a16="http://schemas.microsoft.com/office/drawing/2014/main" id="{C2E9C7BA-65E0-454D-B225-3FD2F99C1557}"/>
            </a:ext>
          </a:extLst>
        </xdr:cNvPr>
        <xdr:cNvSpPr/>
      </xdr:nvSpPr>
      <xdr:spPr>
        <a:xfrm rot="10800000">
          <a:off x="10788731" y="1531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30</xdr:row>
      <xdr:rowOff>196272</xdr:rowOff>
    </xdr:from>
    <xdr:to>
      <xdr:col>8</xdr:col>
      <xdr:colOff>2320636</xdr:colOff>
      <xdr:row>30</xdr:row>
      <xdr:rowOff>346363</xdr:rowOff>
    </xdr:to>
    <xdr:sp macro="" textlink="">
      <xdr:nvSpPr>
        <xdr:cNvPr id="43" name="Isosceles Triangle 42">
          <a:extLst>
            <a:ext uri="{FF2B5EF4-FFF2-40B4-BE49-F238E27FC236}">
              <a16:creationId xmlns:a16="http://schemas.microsoft.com/office/drawing/2014/main" id="{EB224AD6-6874-4493-A022-D616A7AC128F}"/>
            </a:ext>
          </a:extLst>
        </xdr:cNvPr>
        <xdr:cNvSpPr/>
      </xdr:nvSpPr>
      <xdr:spPr>
        <a:xfrm rot="10800000">
          <a:off x="10788731" y="15893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44" name="Isosceles Triangle 43">
          <a:extLst>
            <a:ext uri="{FF2B5EF4-FFF2-40B4-BE49-F238E27FC236}">
              <a16:creationId xmlns:a16="http://schemas.microsoft.com/office/drawing/2014/main" id="{0893798A-7E99-46F7-B71C-CD6B9228CFB7}"/>
            </a:ext>
          </a:extLst>
        </xdr:cNvPr>
        <xdr:cNvSpPr/>
      </xdr:nvSpPr>
      <xdr:spPr>
        <a:xfrm rot="10800000">
          <a:off x="14250388" y="13585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45" name="Isosceles Triangle 44">
          <a:extLst>
            <a:ext uri="{FF2B5EF4-FFF2-40B4-BE49-F238E27FC236}">
              <a16:creationId xmlns:a16="http://schemas.microsoft.com/office/drawing/2014/main" id="{3B805C82-BB47-49CD-8BB5-402269877FAF}"/>
            </a:ext>
          </a:extLst>
        </xdr:cNvPr>
        <xdr:cNvSpPr/>
      </xdr:nvSpPr>
      <xdr:spPr>
        <a:xfrm rot="10800000">
          <a:off x="14250388" y="14162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46" name="Isosceles Triangle 45">
          <a:extLst>
            <a:ext uri="{FF2B5EF4-FFF2-40B4-BE49-F238E27FC236}">
              <a16:creationId xmlns:a16="http://schemas.microsoft.com/office/drawing/2014/main" id="{C2626671-5D27-4D90-91F6-AB4880157F2C}"/>
            </a:ext>
          </a:extLst>
        </xdr:cNvPr>
        <xdr:cNvSpPr/>
      </xdr:nvSpPr>
      <xdr:spPr>
        <a:xfrm rot="10800000">
          <a:off x="14250388" y="14739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29</xdr:row>
      <xdr:rowOff>196272</xdr:rowOff>
    </xdr:from>
    <xdr:to>
      <xdr:col>10</xdr:col>
      <xdr:colOff>2320636</xdr:colOff>
      <xdr:row>29</xdr:row>
      <xdr:rowOff>346363</xdr:rowOff>
    </xdr:to>
    <xdr:sp macro="" textlink="">
      <xdr:nvSpPr>
        <xdr:cNvPr id="47" name="Isosceles Triangle 46">
          <a:extLst>
            <a:ext uri="{FF2B5EF4-FFF2-40B4-BE49-F238E27FC236}">
              <a16:creationId xmlns:a16="http://schemas.microsoft.com/office/drawing/2014/main" id="{4E5B1615-F9E3-4BA7-A4F5-0B7AFE46B27C}"/>
            </a:ext>
          </a:extLst>
        </xdr:cNvPr>
        <xdr:cNvSpPr/>
      </xdr:nvSpPr>
      <xdr:spPr>
        <a:xfrm rot="10800000">
          <a:off x="14250388" y="1531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30</xdr:row>
      <xdr:rowOff>196272</xdr:rowOff>
    </xdr:from>
    <xdr:to>
      <xdr:col>10</xdr:col>
      <xdr:colOff>2320636</xdr:colOff>
      <xdr:row>30</xdr:row>
      <xdr:rowOff>346363</xdr:rowOff>
    </xdr:to>
    <xdr:sp macro="" textlink="">
      <xdr:nvSpPr>
        <xdr:cNvPr id="48" name="Isosceles Triangle 47">
          <a:extLst>
            <a:ext uri="{FF2B5EF4-FFF2-40B4-BE49-F238E27FC236}">
              <a16:creationId xmlns:a16="http://schemas.microsoft.com/office/drawing/2014/main" id="{68C7CC3D-CC7A-4F10-9730-D942581F73AC}"/>
            </a:ext>
          </a:extLst>
        </xdr:cNvPr>
        <xdr:cNvSpPr/>
      </xdr:nvSpPr>
      <xdr:spPr>
        <a:xfrm rot="10800000">
          <a:off x="14250388" y="15893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38</xdr:row>
      <xdr:rowOff>196272</xdr:rowOff>
    </xdr:from>
    <xdr:to>
      <xdr:col>8</xdr:col>
      <xdr:colOff>2320636</xdr:colOff>
      <xdr:row>38</xdr:row>
      <xdr:rowOff>346363</xdr:rowOff>
    </xdr:to>
    <xdr:sp macro="" textlink="">
      <xdr:nvSpPr>
        <xdr:cNvPr id="49" name="Isosceles Triangle 48">
          <a:extLst>
            <a:ext uri="{FF2B5EF4-FFF2-40B4-BE49-F238E27FC236}">
              <a16:creationId xmlns:a16="http://schemas.microsoft.com/office/drawing/2014/main" id="{3EE0453F-0884-49BC-831A-4D0E0DCECE89}"/>
            </a:ext>
          </a:extLst>
        </xdr:cNvPr>
        <xdr:cNvSpPr/>
      </xdr:nvSpPr>
      <xdr:spPr>
        <a:xfrm rot="10800000">
          <a:off x="10788731" y="20509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39</xdr:row>
      <xdr:rowOff>196272</xdr:rowOff>
    </xdr:from>
    <xdr:to>
      <xdr:col>8</xdr:col>
      <xdr:colOff>2320636</xdr:colOff>
      <xdr:row>39</xdr:row>
      <xdr:rowOff>346363</xdr:rowOff>
    </xdr:to>
    <xdr:sp macro="" textlink="">
      <xdr:nvSpPr>
        <xdr:cNvPr id="50" name="Isosceles Triangle 49">
          <a:extLst>
            <a:ext uri="{FF2B5EF4-FFF2-40B4-BE49-F238E27FC236}">
              <a16:creationId xmlns:a16="http://schemas.microsoft.com/office/drawing/2014/main" id="{291D1091-9585-4B80-93EB-F9B4397A7621}"/>
            </a:ext>
          </a:extLst>
        </xdr:cNvPr>
        <xdr:cNvSpPr/>
      </xdr:nvSpPr>
      <xdr:spPr>
        <a:xfrm rot="10800000">
          <a:off x="10788731" y="21085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40</xdr:row>
      <xdr:rowOff>196272</xdr:rowOff>
    </xdr:from>
    <xdr:to>
      <xdr:col>8</xdr:col>
      <xdr:colOff>2320636</xdr:colOff>
      <xdr:row>40</xdr:row>
      <xdr:rowOff>346363</xdr:rowOff>
    </xdr:to>
    <xdr:sp macro="" textlink="">
      <xdr:nvSpPr>
        <xdr:cNvPr id="51" name="Isosceles Triangle 50">
          <a:extLst>
            <a:ext uri="{FF2B5EF4-FFF2-40B4-BE49-F238E27FC236}">
              <a16:creationId xmlns:a16="http://schemas.microsoft.com/office/drawing/2014/main" id="{2101E9AB-A7B0-4C64-B9C7-0A4755286ED0}"/>
            </a:ext>
          </a:extLst>
        </xdr:cNvPr>
        <xdr:cNvSpPr/>
      </xdr:nvSpPr>
      <xdr:spPr>
        <a:xfrm rot="10800000">
          <a:off x="10788731" y="216629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41</xdr:row>
      <xdr:rowOff>196272</xdr:rowOff>
    </xdr:from>
    <xdr:to>
      <xdr:col>8</xdr:col>
      <xdr:colOff>2320636</xdr:colOff>
      <xdr:row>41</xdr:row>
      <xdr:rowOff>346363</xdr:rowOff>
    </xdr:to>
    <xdr:sp macro="" textlink="">
      <xdr:nvSpPr>
        <xdr:cNvPr id="52" name="Isosceles Triangle 51">
          <a:extLst>
            <a:ext uri="{FF2B5EF4-FFF2-40B4-BE49-F238E27FC236}">
              <a16:creationId xmlns:a16="http://schemas.microsoft.com/office/drawing/2014/main" id="{ED9530AE-7F23-4CC3-A278-A69357A91C2F}"/>
            </a:ext>
          </a:extLst>
        </xdr:cNvPr>
        <xdr:cNvSpPr/>
      </xdr:nvSpPr>
      <xdr:spPr>
        <a:xfrm rot="10800000">
          <a:off x="10788731" y="222398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42</xdr:row>
      <xdr:rowOff>196272</xdr:rowOff>
    </xdr:from>
    <xdr:to>
      <xdr:col>8</xdr:col>
      <xdr:colOff>2320636</xdr:colOff>
      <xdr:row>42</xdr:row>
      <xdr:rowOff>346363</xdr:rowOff>
    </xdr:to>
    <xdr:sp macro="" textlink="">
      <xdr:nvSpPr>
        <xdr:cNvPr id="53" name="Isosceles Triangle 52">
          <a:extLst>
            <a:ext uri="{FF2B5EF4-FFF2-40B4-BE49-F238E27FC236}">
              <a16:creationId xmlns:a16="http://schemas.microsoft.com/office/drawing/2014/main" id="{1F27741A-B72F-4DD2-9C18-5D6E528FEA79}"/>
            </a:ext>
          </a:extLst>
        </xdr:cNvPr>
        <xdr:cNvSpPr/>
      </xdr:nvSpPr>
      <xdr:spPr>
        <a:xfrm rot="10800000">
          <a:off x="10788731" y="22816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38</xdr:row>
      <xdr:rowOff>196272</xdr:rowOff>
    </xdr:from>
    <xdr:to>
      <xdr:col>10</xdr:col>
      <xdr:colOff>2320636</xdr:colOff>
      <xdr:row>38</xdr:row>
      <xdr:rowOff>346363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275BEB34-E784-473C-A517-CAF0E9660BE9}"/>
            </a:ext>
          </a:extLst>
        </xdr:cNvPr>
        <xdr:cNvSpPr/>
      </xdr:nvSpPr>
      <xdr:spPr>
        <a:xfrm rot="10800000">
          <a:off x="14250388" y="20509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39</xdr:row>
      <xdr:rowOff>196272</xdr:rowOff>
    </xdr:from>
    <xdr:to>
      <xdr:col>10</xdr:col>
      <xdr:colOff>2320636</xdr:colOff>
      <xdr:row>39</xdr:row>
      <xdr:rowOff>346363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C2D92730-7B89-490B-98A4-AB3BC36C70BA}"/>
            </a:ext>
          </a:extLst>
        </xdr:cNvPr>
        <xdr:cNvSpPr/>
      </xdr:nvSpPr>
      <xdr:spPr>
        <a:xfrm rot="10800000">
          <a:off x="14250388" y="21085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40</xdr:row>
      <xdr:rowOff>196272</xdr:rowOff>
    </xdr:from>
    <xdr:to>
      <xdr:col>10</xdr:col>
      <xdr:colOff>2320636</xdr:colOff>
      <xdr:row>40</xdr:row>
      <xdr:rowOff>346363</xdr:rowOff>
    </xdr:to>
    <xdr:sp macro="" textlink="">
      <xdr:nvSpPr>
        <xdr:cNvPr id="56" name="Isosceles Triangle 55">
          <a:extLst>
            <a:ext uri="{FF2B5EF4-FFF2-40B4-BE49-F238E27FC236}">
              <a16:creationId xmlns:a16="http://schemas.microsoft.com/office/drawing/2014/main" id="{B55BA0D2-B544-44BF-9AEC-123B69C17759}"/>
            </a:ext>
          </a:extLst>
        </xdr:cNvPr>
        <xdr:cNvSpPr/>
      </xdr:nvSpPr>
      <xdr:spPr>
        <a:xfrm rot="10800000">
          <a:off x="14250388" y="216629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41</xdr:row>
      <xdr:rowOff>196272</xdr:rowOff>
    </xdr:from>
    <xdr:to>
      <xdr:col>10</xdr:col>
      <xdr:colOff>2320636</xdr:colOff>
      <xdr:row>41</xdr:row>
      <xdr:rowOff>346363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15346493-B2E1-4395-BF7A-EB19A0DC776D}"/>
            </a:ext>
          </a:extLst>
        </xdr:cNvPr>
        <xdr:cNvSpPr/>
      </xdr:nvSpPr>
      <xdr:spPr>
        <a:xfrm rot="10800000">
          <a:off x="14250388" y="222398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42</xdr:row>
      <xdr:rowOff>196272</xdr:rowOff>
    </xdr:from>
    <xdr:to>
      <xdr:col>10</xdr:col>
      <xdr:colOff>2320636</xdr:colOff>
      <xdr:row>42</xdr:row>
      <xdr:rowOff>346363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C9698D79-9EA6-4325-A6D5-CDEEAE197F68}"/>
            </a:ext>
          </a:extLst>
        </xdr:cNvPr>
        <xdr:cNvSpPr/>
      </xdr:nvSpPr>
      <xdr:spPr>
        <a:xfrm rot="10800000">
          <a:off x="14250388" y="22816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44</xdr:row>
      <xdr:rowOff>196272</xdr:rowOff>
    </xdr:from>
    <xdr:to>
      <xdr:col>8</xdr:col>
      <xdr:colOff>2320636</xdr:colOff>
      <xdr:row>44</xdr:row>
      <xdr:rowOff>346363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6CEF2895-BF7A-4ABB-BFBE-FB7B4DCDFD8D}"/>
            </a:ext>
          </a:extLst>
        </xdr:cNvPr>
        <xdr:cNvSpPr/>
      </xdr:nvSpPr>
      <xdr:spPr>
        <a:xfrm rot="10800000">
          <a:off x="10788731" y="23970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45</xdr:row>
      <xdr:rowOff>196272</xdr:rowOff>
    </xdr:from>
    <xdr:to>
      <xdr:col>8</xdr:col>
      <xdr:colOff>2320636</xdr:colOff>
      <xdr:row>45</xdr:row>
      <xdr:rowOff>346363</xdr:rowOff>
    </xdr:to>
    <xdr:sp macro="" textlink="">
      <xdr:nvSpPr>
        <xdr:cNvPr id="60" name="Isosceles Triangle 59">
          <a:extLst>
            <a:ext uri="{FF2B5EF4-FFF2-40B4-BE49-F238E27FC236}">
              <a16:creationId xmlns:a16="http://schemas.microsoft.com/office/drawing/2014/main" id="{0EDE4601-F11B-433A-9A0D-4E4322D87758}"/>
            </a:ext>
          </a:extLst>
        </xdr:cNvPr>
        <xdr:cNvSpPr/>
      </xdr:nvSpPr>
      <xdr:spPr>
        <a:xfrm rot="10800000">
          <a:off x="10788731" y="24547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46</xdr:row>
      <xdr:rowOff>196272</xdr:rowOff>
    </xdr:from>
    <xdr:to>
      <xdr:col>8</xdr:col>
      <xdr:colOff>2320636</xdr:colOff>
      <xdr:row>46</xdr:row>
      <xdr:rowOff>346363</xdr:rowOff>
    </xdr:to>
    <xdr:sp macro="" textlink="">
      <xdr:nvSpPr>
        <xdr:cNvPr id="61" name="Isosceles Triangle 60">
          <a:extLst>
            <a:ext uri="{FF2B5EF4-FFF2-40B4-BE49-F238E27FC236}">
              <a16:creationId xmlns:a16="http://schemas.microsoft.com/office/drawing/2014/main" id="{7C274F48-81A7-451B-9DDB-70692B494058}"/>
            </a:ext>
          </a:extLst>
        </xdr:cNvPr>
        <xdr:cNvSpPr/>
      </xdr:nvSpPr>
      <xdr:spPr>
        <a:xfrm rot="10800000">
          <a:off x="10788731" y="25124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47</xdr:row>
      <xdr:rowOff>196272</xdr:rowOff>
    </xdr:from>
    <xdr:to>
      <xdr:col>8</xdr:col>
      <xdr:colOff>2320636</xdr:colOff>
      <xdr:row>47</xdr:row>
      <xdr:rowOff>346363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533B90E2-C6B5-4389-9FE8-3613A0002F34}"/>
            </a:ext>
          </a:extLst>
        </xdr:cNvPr>
        <xdr:cNvSpPr/>
      </xdr:nvSpPr>
      <xdr:spPr>
        <a:xfrm rot="10800000">
          <a:off x="10788731" y="25701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48</xdr:row>
      <xdr:rowOff>196272</xdr:rowOff>
    </xdr:from>
    <xdr:to>
      <xdr:col>8</xdr:col>
      <xdr:colOff>2320636</xdr:colOff>
      <xdr:row>48</xdr:row>
      <xdr:rowOff>346363</xdr:rowOff>
    </xdr:to>
    <xdr:sp macro="" textlink="">
      <xdr:nvSpPr>
        <xdr:cNvPr id="63" name="Isosceles Triangle 62">
          <a:extLst>
            <a:ext uri="{FF2B5EF4-FFF2-40B4-BE49-F238E27FC236}">
              <a16:creationId xmlns:a16="http://schemas.microsoft.com/office/drawing/2014/main" id="{4FD85AB4-66C1-42F8-999F-33D0B3DCBCAF}"/>
            </a:ext>
          </a:extLst>
        </xdr:cNvPr>
        <xdr:cNvSpPr/>
      </xdr:nvSpPr>
      <xdr:spPr>
        <a:xfrm rot="10800000">
          <a:off x="10788731" y="26278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44</xdr:row>
      <xdr:rowOff>196272</xdr:rowOff>
    </xdr:from>
    <xdr:to>
      <xdr:col>10</xdr:col>
      <xdr:colOff>2320636</xdr:colOff>
      <xdr:row>44</xdr:row>
      <xdr:rowOff>346363</xdr:rowOff>
    </xdr:to>
    <xdr:sp macro="" textlink="">
      <xdr:nvSpPr>
        <xdr:cNvPr id="64" name="Isosceles Triangle 63">
          <a:extLst>
            <a:ext uri="{FF2B5EF4-FFF2-40B4-BE49-F238E27FC236}">
              <a16:creationId xmlns:a16="http://schemas.microsoft.com/office/drawing/2014/main" id="{2EBE0B53-7355-482E-9254-0F4038B6E605}"/>
            </a:ext>
          </a:extLst>
        </xdr:cNvPr>
        <xdr:cNvSpPr/>
      </xdr:nvSpPr>
      <xdr:spPr>
        <a:xfrm rot="10800000">
          <a:off x="14250388" y="23970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45</xdr:row>
      <xdr:rowOff>196272</xdr:rowOff>
    </xdr:from>
    <xdr:to>
      <xdr:col>10</xdr:col>
      <xdr:colOff>2320636</xdr:colOff>
      <xdr:row>45</xdr:row>
      <xdr:rowOff>346363</xdr:rowOff>
    </xdr:to>
    <xdr:sp macro="" textlink="">
      <xdr:nvSpPr>
        <xdr:cNvPr id="65" name="Isosceles Triangle 64">
          <a:extLst>
            <a:ext uri="{FF2B5EF4-FFF2-40B4-BE49-F238E27FC236}">
              <a16:creationId xmlns:a16="http://schemas.microsoft.com/office/drawing/2014/main" id="{7DE5032C-81EB-45EC-ACBE-87FA54036865}"/>
            </a:ext>
          </a:extLst>
        </xdr:cNvPr>
        <xdr:cNvSpPr/>
      </xdr:nvSpPr>
      <xdr:spPr>
        <a:xfrm rot="10800000">
          <a:off x="14250388" y="24547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46</xdr:row>
      <xdr:rowOff>196272</xdr:rowOff>
    </xdr:from>
    <xdr:to>
      <xdr:col>10</xdr:col>
      <xdr:colOff>2320636</xdr:colOff>
      <xdr:row>46</xdr:row>
      <xdr:rowOff>346363</xdr:rowOff>
    </xdr:to>
    <xdr:sp macro="" textlink="">
      <xdr:nvSpPr>
        <xdr:cNvPr id="66" name="Isosceles Triangle 65">
          <a:extLst>
            <a:ext uri="{FF2B5EF4-FFF2-40B4-BE49-F238E27FC236}">
              <a16:creationId xmlns:a16="http://schemas.microsoft.com/office/drawing/2014/main" id="{1A451422-F31D-41C2-8F78-4C3662149FED}"/>
            </a:ext>
          </a:extLst>
        </xdr:cNvPr>
        <xdr:cNvSpPr/>
      </xdr:nvSpPr>
      <xdr:spPr>
        <a:xfrm rot="10800000">
          <a:off x="14250388" y="25124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47</xdr:row>
      <xdr:rowOff>196272</xdr:rowOff>
    </xdr:from>
    <xdr:to>
      <xdr:col>10</xdr:col>
      <xdr:colOff>2320636</xdr:colOff>
      <xdr:row>47</xdr:row>
      <xdr:rowOff>346363</xdr:rowOff>
    </xdr:to>
    <xdr:sp macro="" textlink="">
      <xdr:nvSpPr>
        <xdr:cNvPr id="67" name="Isosceles Triangle 66">
          <a:extLst>
            <a:ext uri="{FF2B5EF4-FFF2-40B4-BE49-F238E27FC236}">
              <a16:creationId xmlns:a16="http://schemas.microsoft.com/office/drawing/2014/main" id="{D685AD64-B4AA-40F5-850D-E98E51DF45B1}"/>
            </a:ext>
          </a:extLst>
        </xdr:cNvPr>
        <xdr:cNvSpPr/>
      </xdr:nvSpPr>
      <xdr:spPr>
        <a:xfrm rot="10800000">
          <a:off x="14250388" y="25701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48</xdr:row>
      <xdr:rowOff>196272</xdr:rowOff>
    </xdr:from>
    <xdr:to>
      <xdr:col>10</xdr:col>
      <xdr:colOff>2320636</xdr:colOff>
      <xdr:row>48</xdr:row>
      <xdr:rowOff>346363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58A25B43-3285-47D9-8031-CEF856F752C1}"/>
            </a:ext>
          </a:extLst>
        </xdr:cNvPr>
        <xdr:cNvSpPr/>
      </xdr:nvSpPr>
      <xdr:spPr>
        <a:xfrm rot="10800000">
          <a:off x="14250388" y="26278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50</xdr:row>
      <xdr:rowOff>196272</xdr:rowOff>
    </xdr:from>
    <xdr:to>
      <xdr:col>8</xdr:col>
      <xdr:colOff>2320636</xdr:colOff>
      <xdr:row>50</xdr:row>
      <xdr:rowOff>346363</xdr:rowOff>
    </xdr:to>
    <xdr:sp macro="" textlink="">
      <xdr:nvSpPr>
        <xdr:cNvPr id="69" name="Isosceles Triangle 68">
          <a:extLst>
            <a:ext uri="{FF2B5EF4-FFF2-40B4-BE49-F238E27FC236}">
              <a16:creationId xmlns:a16="http://schemas.microsoft.com/office/drawing/2014/main" id="{2A23B603-82B3-4781-991E-46311C0C65C3}"/>
            </a:ext>
          </a:extLst>
        </xdr:cNvPr>
        <xdr:cNvSpPr/>
      </xdr:nvSpPr>
      <xdr:spPr>
        <a:xfrm rot="10800000">
          <a:off x="10788731" y="27432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51</xdr:row>
      <xdr:rowOff>196272</xdr:rowOff>
    </xdr:from>
    <xdr:to>
      <xdr:col>8</xdr:col>
      <xdr:colOff>2320636</xdr:colOff>
      <xdr:row>51</xdr:row>
      <xdr:rowOff>346363</xdr:rowOff>
    </xdr:to>
    <xdr:sp macro="" textlink="">
      <xdr:nvSpPr>
        <xdr:cNvPr id="70" name="Isosceles Triangle 69">
          <a:extLst>
            <a:ext uri="{FF2B5EF4-FFF2-40B4-BE49-F238E27FC236}">
              <a16:creationId xmlns:a16="http://schemas.microsoft.com/office/drawing/2014/main" id="{C918145F-E4B4-43AC-9DB7-949CE8CA4157}"/>
            </a:ext>
          </a:extLst>
        </xdr:cNvPr>
        <xdr:cNvSpPr/>
      </xdr:nvSpPr>
      <xdr:spPr>
        <a:xfrm rot="10800000">
          <a:off x="10788731" y="28085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52</xdr:row>
      <xdr:rowOff>196272</xdr:rowOff>
    </xdr:from>
    <xdr:to>
      <xdr:col>8</xdr:col>
      <xdr:colOff>2320636</xdr:colOff>
      <xdr:row>52</xdr:row>
      <xdr:rowOff>346363</xdr:rowOff>
    </xdr:to>
    <xdr:sp macro="" textlink="">
      <xdr:nvSpPr>
        <xdr:cNvPr id="71" name="Isosceles Triangle 70">
          <a:extLst>
            <a:ext uri="{FF2B5EF4-FFF2-40B4-BE49-F238E27FC236}">
              <a16:creationId xmlns:a16="http://schemas.microsoft.com/office/drawing/2014/main" id="{AAA3BC66-3509-413E-9182-2CE5C7A592F7}"/>
            </a:ext>
          </a:extLst>
        </xdr:cNvPr>
        <xdr:cNvSpPr/>
      </xdr:nvSpPr>
      <xdr:spPr>
        <a:xfrm rot="10800000">
          <a:off x="10788731" y="28662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53</xdr:row>
      <xdr:rowOff>196272</xdr:rowOff>
    </xdr:from>
    <xdr:to>
      <xdr:col>8</xdr:col>
      <xdr:colOff>2320636</xdr:colOff>
      <xdr:row>53</xdr:row>
      <xdr:rowOff>346363</xdr:rowOff>
    </xdr:to>
    <xdr:sp macro="" textlink="">
      <xdr:nvSpPr>
        <xdr:cNvPr id="72" name="Isosceles Triangle 71">
          <a:extLst>
            <a:ext uri="{FF2B5EF4-FFF2-40B4-BE49-F238E27FC236}">
              <a16:creationId xmlns:a16="http://schemas.microsoft.com/office/drawing/2014/main" id="{9332E2AB-6E93-4D0A-B93A-004C3658B6D1}"/>
            </a:ext>
          </a:extLst>
        </xdr:cNvPr>
        <xdr:cNvSpPr/>
      </xdr:nvSpPr>
      <xdr:spPr>
        <a:xfrm rot="10800000">
          <a:off x="10788731" y="29239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54</xdr:row>
      <xdr:rowOff>196272</xdr:rowOff>
    </xdr:from>
    <xdr:to>
      <xdr:col>8</xdr:col>
      <xdr:colOff>2320636</xdr:colOff>
      <xdr:row>54</xdr:row>
      <xdr:rowOff>346363</xdr:rowOff>
    </xdr:to>
    <xdr:sp macro="" textlink="">
      <xdr:nvSpPr>
        <xdr:cNvPr id="73" name="Isosceles Triangle 72">
          <a:extLst>
            <a:ext uri="{FF2B5EF4-FFF2-40B4-BE49-F238E27FC236}">
              <a16:creationId xmlns:a16="http://schemas.microsoft.com/office/drawing/2014/main" id="{5B9F3A14-000B-46B6-9918-9BD50AD21192}"/>
            </a:ext>
          </a:extLst>
        </xdr:cNvPr>
        <xdr:cNvSpPr/>
      </xdr:nvSpPr>
      <xdr:spPr>
        <a:xfrm rot="10800000">
          <a:off x="10788731" y="29816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50</xdr:row>
      <xdr:rowOff>196272</xdr:rowOff>
    </xdr:from>
    <xdr:to>
      <xdr:col>10</xdr:col>
      <xdr:colOff>2320636</xdr:colOff>
      <xdr:row>50</xdr:row>
      <xdr:rowOff>346363</xdr:rowOff>
    </xdr:to>
    <xdr:sp macro="" textlink="">
      <xdr:nvSpPr>
        <xdr:cNvPr id="74" name="Isosceles Triangle 73">
          <a:extLst>
            <a:ext uri="{FF2B5EF4-FFF2-40B4-BE49-F238E27FC236}">
              <a16:creationId xmlns:a16="http://schemas.microsoft.com/office/drawing/2014/main" id="{B4FF3A35-1CEB-47D9-9A93-82B228D96D65}"/>
            </a:ext>
          </a:extLst>
        </xdr:cNvPr>
        <xdr:cNvSpPr/>
      </xdr:nvSpPr>
      <xdr:spPr>
        <a:xfrm rot="10800000">
          <a:off x="14250388" y="27432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51</xdr:row>
      <xdr:rowOff>196272</xdr:rowOff>
    </xdr:from>
    <xdr:to>
      <xdr:col>10</xdr:col>
      <xdr:colOff>2320636</xdr:colOff>
      <xdr:row>51</xdr:row>
      <xdr:rowOff>346363</xdr:rowOff>
    </xdr:to>
    <xdr:sp macro="" textlink="">
      <xdr:nvSpPr>
        <xdr:cNvPr id="75" name="Isosceles Triangle 74">
          <a:extLst>
            <a:ext uri="{FF2B5EF4-FFF2-40B4-BE49-F238E27FC236}">
              <a16:creationId xmlns:a16="http://schemas.microsoft.com/office/drawing/2014/main" id="{6EBBC5A6-3289-4821-9AD6-79F2A621C744}"/>
            </a:ext>
          </a:extLst>
        </xdr:cNvPr>
        <xdr:cNvSpPr/>
      </xdr:nvSpPr>
      <xdr:spPr>
        <a:xfrm rot="10800000">
          <a:off x="14250388" y="28085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52</xdr:row>
      <xdr:rowOff>196272</xdr:rowOff>
    </xdr:from>
    <xdr:to>
      <xdr:col>10</xdr:col>
      <xdr:colOff>2320636</xdr:colOff>
      <xdr:row>52</xdr:row>
      <xdr:rowOff>346363</xdr:rowOff>
    </xdr:to>
    <xdr:sp macro="" textlink="">
      <xdr:nvSpPr>
        <xdr:cNvPr id="76" name="Isosceles Triangle 75">
          <a:extLst>
            <a:ext uri="{FF2B5EF4-FFF2-40B4-BE49-F238E27FC236}">
              <a16:creationId xmlns:a16="http://schemas.microsoft.com/office/drawing/2014/main" id="{305D945C-FB0A-4FF7-A780-D574E21453F3}"/>
            </a:ext>
          </a:extLst>
        </xdr:cNvPr>
        <xdr:cNvSpPr/>
      </xdr:nvSpPr>
      <xdr:spPr>
        <a:xfrm rot="10800000">
          <a:off x="14250388" y="28662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53</xdr:row>
      <xdr:rowOff>196272</xdr:rowOff>
    </xdr:from>
    <xdr:to>
      <xdr:col>10</xdr:col>
      <xdr:colOff>2320636</xdr:colOff>
      <xdr:row>53</xdr:row>
      <xdr:rowOff>346363</xdr:rowOff>
    </xdr:to>
    <xdr:sp macro="" textlink="">
      <xdr:nvSpPr>
        <xdr:cNvPr id="77" name="Isosceles Triangle 76">
          <a:extLst>
            <a:ext uri="{FF2B5EF4-FFF2-40B4-BE49-F238E27FC236}">
              <a16:creationId xmlns:a16="http://schemas.microsoft.com/office/drawing/2014/main" id="{A342045B-E23C-496E-8911-4BE47F233204}"/>
            </a:ext>
          </a:extLst>
        </xdr:cNvPr>
        <xdr:cNvSpPr/>
      </xdr:nvSpPr>
      <xdr:spPr>
        <a:xfrm rot="10800000">
          <a:off x="14250388" y="29239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54</xdr:row>
      <xdr:rowOff>196272</xdr:rowOff>
    </xdr:from>
    <xdr:to>
      <xdr:col>10</xdr:col>
      <xdr:colOff>2320636</xdr:colOff>
      <xdr:row>54</xdr:row>
      <xdr:rowOff>346363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B735135D-363D-4F0E-9DB2-990B7E3895C6}"/>
            </a:ext>
          </a:extLst>
        </xdr:cNvPr>
        <xdr:cNvSpPr/>
      </xdr:nvSpPr>
      <xdr:spPr>
        <a:xfrm rot="10800000">
          <a:off x="14250388" y="29816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158</xdr:row>
      <xdr:rowOff>196272</xdr:rowOff>
    </xdr:from>
    <xdr:to>
      <xdr:col>8</xdr:col>
      <xdr:colOff>2320636</xdr:colOff>
      <xdr:row>158</xdr:row>
      <xdr:rowOff>346363</xdr:rowOff>
    </xdr:to>
    <xdr:sp macro="" textlink="">
      <xdr:nvSpPr>
        <xdr:cNvPr id="79" name="Isosceles Triangle 78">
          <a:extLst>
            <a:ext uri="{FF2B5EF4-FFF2-40B4-BE49-F238E27FC236}">
              <a16:creationId xmlns:a16="http://schemas.microsoft.com/office/drawing/2014/main" id="{541B3CAF-9226-4EDD-A093-768C994E946E}"/>
            </a:ext>
          </a:extLst>
        </xdr:cNvPr>
        <xdr:cNvSpPr/>
      </xdr:nvSpPr>
      <xdr:spPr>
        <a:xfrm rot="10800000">
          <a:off x="10788731" y="89894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159</xdr:row>
      <xdr:rowOff>196272</xdr:rowOff>
    </xdr:from>
    <xdr:to>
      <xdr:col>8</xdr:col>
      <xdr:colOff>2320636</xdr:colOff>
      <xdr:row>159</xdr:row>
      <xdr:rowOff>346363</xdr:rowOff>
    </xdr:to>
    <xdr:sp macro="" textlink="">
      <xdr:nvSpPr>
        <xdr:cNvPr id="80" name="Isosceles Triangle 79">
          <a:extLst>
            <a:ext uri="{FF2B5EF4-FFF2-40B4-BE49-F238E27FC236}">
              <a16:creationId xmlns:a16="http://schemas.microsoft.com/office/drawing/2014/main" id="{5F7A9E03-8F1A-40E7-ABF7-F41E82E5BB8D}"/>
            </a:ext>
          </a:extLst>
        </xdr:cNvPr>
        <xdr:cNvSpPr/>
      </xdr:nvSpPr>
      <xdr:spPr>
        <a:xfrm rot="10800000">
          <a:off x="10788731" y="90471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160</xdr:row>
      <xdr:rowOff>196272</xdr:rowOff>
    </xdr:from>
    <xdr:to>
      <xdr:col>8</xdr:col>
      <xdr:colOff>2320636</xdr:colOff>
      <xdr:row>160</xdr:row>
      <xdr:rowOff>346363</xdr:rowOff>
    </xdr:to>
    <xdr:sp macro="" textlink="">
      <xdr:nvSpPr>
        <xdr:cNvPr id="81" name="Isosceles Triangle 80">
          <a:extLst>
            <a:ext uri="{FF2B5EF4-FFF2-40B4-BE49-F238E27FC236}">
              <a16:creationId xmlns:a16="http://schemas.microsoft.com/office/drawing/2014/main" id="{9E033E60-2B31-4557-8A41-922EFAC0FA4E}"/>
            </a:ext>
          </a:extLst>
        </xdr:cNvPr>
        <xdr:cNvSpPr/>
      </xdr:nvSpPr>
      <xdr:spPr>
        <a:xfrm rot="10800000">
          <a:off x="10788731" y="91048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161</xdr:row>
      <xdr:rowOff>196272</xdr:rowOff>
    </xdr:from>
    <xdr:to>
      <xdr:col>8</xdr:col>
      <xdr:colOff>2320636</xdr:colOff>
      <xdr:row>161</xdr:row>
      <xdr:rowOff>346363</xdr:rowOff>
    </xdr:to>
    <xdr:sp macro="" textlink="">
      <xdr:nvSpPr>
        <xdr:cNvPr id="82" name="Isosceles Triangle 81">
          <a:extLst>
            <a:ext uri="{FF2B5EF4-FFF2-40B4-BE49-F238E27FC236}">
              <a16:creationId xmlns:a16="http://schemas.microsoft.com/office/drawing/2014/main" id="{2D46FBC6-4449-4976-AE17-01ECF0E9FF45}"/>
            </a:ext>
          </a:extLst>
        </xdr:cNvPr>
        <xdr:cNvSpPr/>
      </xdr:nvSpPr>
      <xdr:spPr>
        <a:xfrm rot="10800000">
          <a:off x="10788731" y="91625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162</xdr:row>
      <xdr:rowOff>196272</xdr:rowOff>
    </xdr:from>
    <xdr:to>
      <xdr:col>8</xdr:col>
      <xdr:colOff>2320636</xdr:colOff>
      <xdr:row>162</xdr:row>
      <xdr:rowOff>346363</xdr:rowOff>
    </xdr:to>
    <xdr:sp macro="" textlink="">
      <xdr:nvSpPr>
        <xdr:cNvPr id="83" name="Isosceles Triangle 82">
          <a:extLst>
            <a:ext uri="{FF2B5EF4-FFF2-40B4-BE49-F238E27FC236}">
              <a16:creationId xmlns:a16="http://schemas.microsoft.com/office/drawing/2014/main" id="{CFC137A8-BCAC-4D70-B007-43461934B678}"/>
            </a:ext>
          </a:extLst>
        </xdr:cNvPr>
        <xdr:cNvSpPr/>
      </xdr:nvSpPr>
      <xdr:spPr>
        <a:xfrm rot="10800000">
          <a:off x="10788731" y="92202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158</xdr:row>
      <xdr:rowOff>196272</xdr:rowOff>
    </xdr:from>
    <xdr:to>
      <xdr:col>10</xdr:col>
      <xdr:colOff>2320636</xdr:colOff>
      <xdr:row>158</xdr:row>
      <xdr:rowOff>346363</xdr:rowOff>
    </xdr:to>
    <xdr:sp macro="" textlink="">
      <xdr:nvSpPr>
        <xdr:cNvPr id="84" name="Isosceles Triangle 83">
          <a:extLst>
            <a:ext uri="{FF2B5EF4-FFF2-40B4-BE49-F238E27FC236}">
              <a16:creationId xmlns:a16="http://schemas.microsoft.com/office/drawing/2014/main" id="{9D39369B-79E6-4223-BD40-D1A39CF9133A}"/>
            </a:ext>
          </a:extLst>
        </xdr:cNvPr>
        <xdr:cNvSpPr/>
      </xdr:nvSpPr>
      <xdr:spPr>
        <a:xfrm rot="10800000">
          <a:off x="14250388" y="89894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159</xdr:row>
      <xdr:rowOff>196272</xdr:rowOff>
    </xdr:from>
    <xdr:to>
      <xdr:col>10</xdr:col>
      <xdr:colOff>2320636</xdr:colOff>
      <xdr:row>159</xdr:row>
      <xdr:rowOff>346363</xdr:rowOff>
    </xdr:to>
    <xdr:sp macro="" textlink="">
      <xdr:nvSpPr>
        <xdr:cNvPr id="85" name="Isosceles Triangle 84">
          <a:extLst>
            <a:ext uri="{FF2B5EF4-FFF2-40B4-BE49-F238E27FC236}">
              <a16:creationId xmlns:a16="http://schemas.microsoft.com/office/drawing/2014/main" id="{F4F50205-FB76-42A0-B60A-B10D16A6F4CF}"/>
            </a:ext>
          </a:extLst>
        </xdr:cNvPr>
        <xdr:cNvSpPr/>
      </xdr:nvSpPr>
      <xdr:spPr>
        <a:xfrm rot="10800000">
          <a:off x="14250388" y="90471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160</xdr:row>
      <xdr:rowOff>196272</xdr:rowOff>
    </xdr:from>
    <xdr:to>
      <xdr:col>10</xdr:col>
      <xdr:colOff>2320636</xdr:colOff>
      <xdr:row>160</xdr:row>
      <xdr:rowOff>346363</xdr:rowOff>
    </xdr:to>
    <xdr:sp macro="" textlink="">
      <xdr:nvSpPr>
        <xdr:cNvPr id="86" name="Isosceles Triangle 85">
          <a:extLst>
            <a:ext uri="{FF2B5EF4-FFF2-40B4-BE49-F238E27FC236}">
              <a16:creationId xmlns:a16="http://schemas.microsoft.com/office/drawing/2014/main" id="{18413A5E-3324-4D74-A262-28D863691973}"/>
            </a:ext>
          </a:extLst>
        </xdr:cNvPr>
        <xdr:cNvSpPr/>
      </xdr:nvSpPr>
      <xdr:spPr>
        <a:xfrm rot="10800000">
          <a:off x="14250388" y="91048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161</xdr:row>
      <xdr:rowOff>196272</xdr:rowOff>
    </xdr:from>
    <xdr:to>
      <xdr:col>10</xdr:col>
      <xdr:colOff>2320636</xdr:colOff>
      <xdr:row>161</xdr:row>
      <xdr:rowOff>346363</xdr:rowOff>
    </xdr:to>
    <xdr:sp macro="" textlink="">
      <xdr:nvSpPr>
        <xdr:cNvPr id="87" name="Isosceles Triangle 86">
          <a:extLst>
            <a:ext uri="{FF2B5EF4-FFF2-40B4-BE49-F238E27FC236}">
              <a16:creationId xmlns:a16="http://schemas.microsoft.com/office/drawing/2014/main" id="{70496E8A-00DA-4CA7-A741-A47041D5D986}"/>
            </a:ext>
          </a:extLst>
        </xdr:cNvPr>
        <xdr:cNvSpPr/>
      </xdr:nvSpPr>
      <xdr:spPr>
        <a:xfrm rot="10800000">
          <a:off x="14250388" y="91625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162</xdr:row>
      <xdr:rowOff>196272</xdr:rowOff>
    </xdr:from>
    <xdr:to>
      <xdr:col>10</xdr:col>
      <xdr:colOff>2320636</xdr:colOff>
      <xdr:row>162</xdr:row>
      <xdr:rowOff>346363</xdr:rowOff>
    </xdr:to>
    <xdr:sp macro="" textlink="">
      <xdr:nvSpPr>
        <xdr:cNvPr id="88" name="Isosceles Triangle 87">
          <a:extLst>
            <a:ext uri="{FF2B5EF4-FFF2-40B4-BE49-F238E27FC236}">
              <a16:creationId xmlns:a16="http://schemas.microsoft.com/office/drawing/2014/main" id="{39943365-B2FB-4EDB-83BA-6CF42F591602}"/>
            </a:ext>
          </a:extLst>
        </xdr:cNvPr>
        <xdr:cNvSpPr/>
      </xdr:nvSpPr>
      <xdr:spPr>
        <a:xfrm rot="10800000">
          <a:off x="14250388" y="92202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152</xdr:row>
      <xdr:rowOff>196272</xdr:rowOff>
    </xdr:from>
    <xdr:to>
      <xdr:col>8</xdr:col>
      <xdr:colOff>2320636</xdr:colOff>
      <xdr:row>152</xdr:row>
      <xdr:rowOff>346363</xdr:rowOff>
    </xdr:to>
    <xdr:sp macro="" textlink="">
      <xdr:nvSpPr>
        <xdr:cNvPr id="89" name="Isosceles Triangle 88">
          <a:extLst>
            <a:ext uri="{FF2B5EF4-FFF2-40B4-BE49-F238E27FC236}">
              <a16:creationId xmlns:a16="http://schemas.microsoft.com/office/drawing/2014/main" id="{ECE4DAA5-CC2D-422F-B1E8-79CFAE439FFF}"/>
            </a:ext>
          </a:extLst>
        </xdr:cNvPr>
        <xdr:cNvSpPr/>
      </xdr:nvSpPr>
      <xdr:spPr>
        <a:xfrm rot="10800000">
          <a:off x="10788731" y="864329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153</xdr:row>
      <xdr:rowOff>196272</xdr:rowOff>
    </xdr:from>
    <xdr:to>
      <xdr:col>8</xdr:col>
      <xdr:colOff>2320636</xdr:colOff>
      <xdr:row>153</xdr:row>
      <xdr:rowOff>346363</xdr:rowOff>
    </xdr:to>
    <xdr:sp macro="" textlink="">
      <xdr:nvSpPr>
        <xdr:cNvPr id="90" name="Isosceles Triangle 89">
          <a:extLst>
            <a:ext uri="{FF2B5EF4-FFF2-40B4-BE49-F238E27FC236}">
              <a16:creationId xmlns:a16="http://schemas.microsoft.com/office/drawing/2014/main" id="{9E1192CD-29D5-47CE-89B1-26F445CCCCB5}"/>
            </a:ext>
          </a:extLst>
        </xdr:cNvPr>
        <xdr:cNvSpPr/>
      </xdr:nvSpPr>
      <xdr:spPr>
        <a:xfrm rot="10800000">
          <a:off x="10788731" y="870098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154</xdr:row>
      <xdr:rowOff>196272</xdr:rowOff>
    </xdr:from>
    <xdr:to>
      <xdr:col>8</xdr:col>
      <xdr:colOff>2320636</xdr:colOff>
      <xdr:row>154</xdr:row>
      <xdr:rowOff>346363</xdr:rowOff>
    </xdr:to>
    <xdr:sp macro="" textlink="">
      <xdr:nvSpPr>
        <xdr:cNvPr id="91" name="Isosceles Triangle 90">
          <a:extLst>
            <a:ext uri="{FF2B5EF4-FFF2-40B4-BE49-F238E27FC236}">
              <a16:creationId xmlns:a16="http://schemas.microsoft.com/office/drawing/2014/main" id="{659FA04D-9F8B-4FAF-BECA-D2A6C7F1EB47}"/>
            </a:ext>
          </a:extLst>
        </xdr:cNvPr>
        <xdr:cNvSpPr/>
      </xdr:nvSpPr>
      <xdr:spPr>
        <a:xfrm rot="10800000">
          <a:off x="10788731" y="87586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155</xdr:row>
      <xdr:rowOff>196272</xdr:rowOff>
    </xdr:from>
    <xdr:to>
      <xdr:col>8</xdr:col>
      <xdr:colOff>2320636</xdr:colOff>
      <xdr:row>155</xdr:row>
      <xdr:rowOff>346363</xdr:rowOff>
    </xdr:to>
    <xdr:sp macro="" textlink="">
      <xdr:nvSpPr>
        <xdr:cNvPr id="92" name="Isosceles Triangle 91">
          <a:extLst>
            <a:ext uri="{FF2B5EF4-FFF2-40B4-BE49-F238E27FC236}">
              <a16:creationId xmlns:a16="http://schemas.microsoft.com/office/drawing/2014/main" id="{F60A62DA-C7A8-444A-93E7-5CF1C1FE7761}"/>
            </a:ext>
          </a:extLst>
        </xdr:cNvPr>
        <xdr:cNvSpPr/>
      </xdr:nvSpPr>
      <xdr:spPr>
        <a:xfrm rot="10800000">
          <a:off x="10788731" y="88163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156</xdr:row>
      <xdr:rowOff>196272</xdr:rowOff>
    </xdr:from>
    <xdr:to>
      <xdr:col>8</xdr:col>
      <xdr:colOff>2320636</xdr:colOff>
      <xdr:row>156</xdr:row>
      <xdr:rowOff>346363</xdr:rowOff>
    </xdr:to>
    <xdr:sp macro="" textlink="">
      <xdr:nvSpPr>
        <xdr:cNvPr id="93" name="Isosceles Triangle 92">
          <a:extLst>
            <a:ext uri="{FF2B5EF4-FFF2-40B4-BE49-F238E27FC236}">
              <a16:creationId xmlns:a16="http://schemas.microsoft.com/office/drawing/2014/main" id="{6B7FC6F4-4F5C-460A-ABC5-3A81C70CAEC7}"/>
            </a:ext>
          </a:extLst>
        </xdr:cNvPr>
        <xdr:cNvSpPr/>
      </xdr:nvSpPr>
      <xdr:spPr>
        <a:xfrm rot="10800000">
          <a:off x="10788731" y="88740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152</xdr:row>
      <xdr:rowOff>196272</xdr:rowOff>
    </xdr:from>
    <xdr:to>
      <xdr:col>10</xdr:col>
      <xdr:colOff>2320636</xdr:colOff>
      <xdr:row>152</xdr:row>
      <xdr:rowOff>346363</xdr:rowOff>
    </xdr:to>
    <xdr:sp macro="" textlink="">
      <xdr:nvSpPr>
        <xdr:cNvPr id="94" name="Isosceles Triangle 93">
          <a:extLst>
            <a:ext uri="{FF2B5EF4-FFF2-40B4-BE49-F238E27FC236}">
              <a16:creationId xmlns:a16="http://schemas.microsoft.com/office/drawing/2014/main" id="{18CED4F1-081A-46DC-89ED-F2C500665FE2}"/>
            </a:ext>
          </a:extLst>
        </xdr:cNvPr>
        <xdr:cNvSpPr/>
      </xdr:nvSpPr>
      <xdr:spPr>
        <a:xfrm rot="10800000">
          <a:off x="14250388" y="864329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153</xdr:row>
      <xdr:rowOff>196272</xdr:rowOff>
    </xdr:from>
    <xdr:to>
      <xdr:col>10</xdr:col>
      <xdr:colOff>2320636</xdr:colOff>
      <xdr:row>153</xdr:row>
      <xdr:rowOff>346363</xdr:rowOff>
    </xdr:to>
    <xdr:sp macro="" textlink="">
      <xdr:nvSpPr>
        <xdr:cNvPr id="95" name="Isosceles Triangle 94">
          <a:extLst>
            <a:ext uri="{FF2B5EF4-FFF2-40B4-BE49-F238E27FC236}">
              <a16:creationId xmlns:a16="http://schemas.microsoft.com/office/drawing/2014/main" id="{F3246220-64CD-4407-9764-ABE17A3DB01A}"/>
            </a:ext>
          </a:extLst>
        </xdr:cNvPr>
        <xdr:cNvSpPr/>
      </xdr:nvSpPr>
      <xdr:spPr>
        <a:xfrm rot="10800000">
          <a:off x="14250388" y="870098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154</xdr:row>
      <xdr:rowOff>196272</xdr:rowOff>
    </xdr:from>
    <xdr:to>
      <xdr:col>10</xdr:col>
      <xdr:colOff>2320636</xdr:colOff>
      <xdr:row>154</xdr:row>
      <xdr:rowOff>346363</xdr:rowOff>
    </xdr:to>
    <xdr:sp macro="" textlink="">
      <xdr:nvSpPr>
        <xdr:cNvPr id="96" name="Isosceles Triangle 95">
          <a:extLst>
            <a:ext uri="{FF2B5EF4-FFF2-40B4-BE49-F238E27FC236}">
              <a16:creationId xmlns:a16="http://schemas.microsoft.com/office/drawing/2014/main" id="{75157DED-F211-4174-9A60-90DC11F55189}"/>
            </a:ext>
          </a:extLst>
        </xdr:cNvPr>
        <xdr:cNvSpPr/>
      </xdr:nvSpPr>
      <xdr:spPr>
        <a:xfrm rot="10800000">
          <a:off x="14250388" y="87586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155</xdr:row>
      <xdr:rowOff>196272</xdr:rowOff>
    </xdr:from>
    <xdr:to>
      <xdr:col>10</xdr:col>
      <xdr:colOff>2320636</xdr:colOff>
      <xdr:row>155</xdr:row>
      <xdr:rowOff>346363</xdr:rowOff>
    </xdr:to>
    <xdr:sp macro="" textlink="">
      <xdr:nvSpPr>
        <xdr:cNvPr id="97" name="Isosceles Triangle 96">
          <a:extLst>
            <a:ext uri="{FF2B5EF4-FFF2-40B4-BE49-F238E27FC236}">
              <a16:creationId xmlns:a16="http://schemas.microsoft.com/office/drawing/2014/main" id="{5C799C8B-1B0A-457E-A13E-482B44FE15A6}"/>
            </a:ext>
          </a:extLst>
        </xdr:cNvPr>
        <xdr:cNvSpPr/>
      </xdr:nvSpPr>
      <xdr:spPr>
        <a:xfrm rot="10800000">
          <a:off x="14250388" y="88163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156</xdr:row>
      <xdr:rowOff>196272</xdr:rowOff>
    </xdr:from>
    <xdr:to>
      <xdr:col>10</xdr:col>
      <xdr:colOff>2320636</xdr:colOff>
      <xdr:row>156</xdr:row>
      <xdr:rowOff>346363</xdr:rowOff>
    </xdr:to>
    <xdr:sp macro="" textlink="">
      <xdr:nvSpPr>
        <xdr:cNvPr id="98" name="Isosceles Triangle 97">
          <a:extLst>
            <a:ext uri="{FF2B5EF4-FFF2-40B4-BE49-F238E27FC236}">
              <a16:creationId xmlns:a16="http://schemas.microsoft.com/office/drawing/2014/main" id="{A3BACFA9-0D16-4F91-89AD-2AB1BCCF1B67}"/>
            </a:ext>
          </a:extLst>
        </xdr:cNvPr>
        <xdr:cNvSpPr/>
      </xdr:nvSpPr>
      <xdr:spPr>
        <a:xfrm rot="10800000">
          <a:off x="14250388" y="88740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146</xdr:row>
      <xdr:rowOff>196272</xdr:rowOff>
    </xdr:from>
    <xdr:to>
      <xdr:col>8</xdr:col>
      <xdr:colOff>2320636</xdr:colOff>
      <xdr:row>146</xdr:row>
      <xdr:rowOff>346363</xdr:rowOff>
    </xdr:to>
    <xdr:sp macro="" textlink="">
      <xdr:nvSpPr>
        <xdr:cNvPr id="99" name="Isosceles Triangle 98">
          <a:extLst>
            <a:ext uri="{FF2B5EF4-FFF2-40B4-BE49-F238E27FC236}">
              <a16:creationId xmlns:a16="http://schemas.microsoft.com/office/drawing/2014/main" id="{A19C520E-5F72-4550-913B-2D57EFC4DB74}"/>
            </a:ext>
          </a:extLst>
        </xdr:cNvPr>
        <xdr:cNvSpPr/>
      </xdr:nvSpPr>
      <xdr:spPr>
        <a:xfrm rot="10800000">
          <a:off x="10788731" y="829712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147</xdr:row>
      <xdr:rowOff>196272</xdr:rowOff>
    </xdr:from>
    <xdr:to>
      <xdr:col>8</xdr:col>
      <xdr:colOff>2320636</xdr:colOff>
      <xdr:row>147</xdr:row>
      <xdr:rowOff>346363</xdr:rowOff>
    </xdr:to>
    <xdr:sp macro="" textlink="">
      <xdr:nvSpPr>
        <xdr:cNvPr id="100" name="Isosceles Triangle 99">
          <a:extLst>
            <a:ext uri="{FF2B5EF4-FFF2-40B4-BE49-F238E27FC236}">
              <a16:creationId xmlns:a16="http://schemas.microsoft.com/office/drawing/2014/main" id="{BBB1000E-0408-4BBD-818A-71F8AF5155BD}"/>
            </a:ext>
          </a:extLst>
        </xdr:cNvPr>
        <xdr:cNvSpPr/>
      </xdr:nvSpPr>
      <xdr:spPr>
        <a:xfrm rot="10800000">
          <a:off x="10788731" y="83548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148</xdr:row>
      <xdr:rowOff>196272</xdr:rowOff>
    </xdr:from>
    <xdr:to>
      <xdr:col>8</xdr:col>
      <xdr:colOff>2320636</xdr:colOff>
      <xdr:row>148</xdr:row>
      <xdr:rowOff>346363</xdr:rowOff>
    </xdr:to>
    <xdr:sp macro="" textlink="">
      <xdr:nvSpPr>
        <xdr:cNvPr id="101" name="Isosceles Triangle 100">
          <a:extLst>
            <a:ext uri="{FF2B5EF4-FFF2-40B4-BE49-F238E27FC236}">
              <a16:creationId xmlns:a16="http://schemas.microsoft.com/office/drawing/2014/main" id="{5833E8B3-4ADA-4A0F-8119-2CC42B5603DD}"/>
            </a:ext>
          </a:extLst>
        </xdr:cNvPr>
        <xdr:cNvSpPr/>
      </xdr:nvSpPr>
      <xdr:spPr>
        <a:xfrm rot="10800000">
          <a:off x="10788731" y="84125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149</xdr:row>
      <xdr:rowOff>196272</xdr:rowOff>
    </xdr:from>
    <xdr:to>
      <xdr:col>8</xdr:col>
      <xdr:colOff>2320636</xdr:colOff>
      <xdr:row>149</xdr:row>
      <xdr:rowOff>346363</xdr:rowOff>
    </xdr:to>
    <xdr:sp macro="" textlink="">
      <xdr:nvSpPr>
        <xdr:cNvPr id="102" name="Isosceles Triangle 101">
          <a:extLst>
            <a:ext uri="{FF2B5EF4-FFF2-40B4-BE49-F238E27FC236}">
              <a16:creationId xmlns:a16="http://schemas.microsoft.com/office/drawing/2014/main" id="{F921A00D-7940-4416-8448-A29A8CA2DCB3}"/>
            </a:ext>
          </a:extLst>
        </xdr:cNvPr>
        <xdr:cNvSpPr/>
      </xdr:nvSpPr>
      <xdr:spPr>
        <a:xfrm rot="10800000">
          <a:off x="10788731" y="847020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150</xdr:row>
      <xdr:rowOff>196272</xdr:rowOff>
    </xdr:from>
    <xdr:to>
      <xdr:col>8</xdr:col>
      <xdr:colOff>2320636</xdr:colOff>
      <xdr:row>150</xdr:row>
      <xdr:rowOff>346363</xdr:rowOff>
    </xdr:to>
    <xdr:sp macro="" textlink="">
      <xdr:nvSpPr>
        <xdr:cNvPr id="103" name="Isosceles Triangle 102">
          <a:extLst>
            <a:ext uri="{FF2B5EF4-FFF2-40B4-BE49-F238E27FC236}">
              <a16:creationId xmlns:a16="http://schemas.microsoft.com/office/drawing/2014/main" id="{184834E3-7F31-4760-B82A-46C262DAB614}"/>
            </a:ext>
          </a:extLst>
        </xdr:cNvPr>
        <xdr:cNvSpPr/>
      </xdr:nvSpPr>
      <xdr:spPr>
        <a:xfrm rot="10800000">
          <a:off x="10788731" y="85279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146</xdr:row>
      <xdr:rowOff>196272</xdr:rowOff>
    </xdr:from>
    <xdr:to>
      <xdr:col>10</xdr:col>
      <xdr:colOff>2320636</xdr:colOff>
      <xdr:row>146</xdr:row>
      <xdr:rowOff>346363</xdr:rowOff>
    </xdr:to>
    <xdr:sp macro="" textlink="">
      <xdr:nvSpPr>
        <xdr:cNvPr id="104" name="Isosceles Triangle 103">
          <a:extLst>
            <a:ext uri="{FF2B5EF4-FFF2-40B4-BE49-F238E27FC236}">
              <a16:creationId xmlns:a16="http://schemas.microsoft.com/office/drawing/2014/main" id="{A1418DE8-B589-4282-89F9-36366B994AD7}"/>
            </a:ext>
          </a:extLst>
        </xdr:cNvPr>
        <xdr:cNvSpPr/>
      </xdr:nvSpPr>
      <xdr:spPr>
        <a:xfrm rot="10800000">
          <a:off x="14250388" y="829712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147</xdr:row>
      <xdr:rowOff>196272</xdr:rowOff>
    </xdr:from>
    <xdr:to>
      <xdr:col>10</xdr:col>
      <xdr:colOff>2320636</xdr:colOff>
      <xdr:row>147</xdr:row>
      <xdr:rowOff>346363</xdr:rowOff>
    </xdr:to>
    <xdr:sp macro="" textlink="">
      <xdr:nvSpPr>
        <xdr:cNvPr id="105" name="Isosceles Triangle 104">
          <a:extLst>
            <a:ext uri="{FF2B5EF4-FFF2-40B4-BE49-F238E27FC236}">
              <a16:creationId xmlns:a16="http://schemas.microsoft.com/office/drawing/2014/main" id="{C2616CDE-1546-495B-92B6-A63F91A1137F}"/>
            </a:ext>
          </a:extLst>
        </xdr:cNvPr>
        <xdr:cNvSpPr/>
      </xdr:nvSpPr>
      <xdr:spPr>
        <a:xfrm rot="10800000">
          <a:off x="14250388" y="83548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148</xdr:row>
      <xdr:rowOff>196272</xdr:rowOff>
    </xdr:from>
    <xdr:to>
      <xdr:col>10</xdr:col>
      <xdr:colOff>2320636</xdr:colOff>
      <xdr:row>148</xdr:row>
      <xdr:rowOff>346363</xdr:rowOff>
    </xdr:to>
    <xdr:sp macro="" textlink="">
      <xdr:nvSpPr>
        <xdr:cNvPr id="106" name="Isosceles Triangle 105">
          <a:extLst>
            <a:ext uri="{FF2B5EF4-FFF2-40B4-BE49-F238E27FC236}">
              <a16:creationId xmlns:a16="http://schemas.microsoft.com/office/drawing/2014/main" id="{582ACA5D-B973-4404-86BA-51585C84BA5E}"/>
            </a:ext>
          </a:extLst>
        </xdr:cNvPr>
        <xdr:cNvSpPr/>
      </xdr:nvSpPr>
      <xdr:spPr>
        <a:xfrm rot="10800000">
          <a:off x="14250388" y="84125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149</xdr:row>
      <xdr:rowOff>196272</xdr:rowOff>
    </xdr:from>
    <xdr:to>
      <xdr:col>10</xdr:col>
      <xdr:colOff>2320636</xdr:colOff>
      <xdr:row>149</xdr:row>
      <xdr:rowOff>346363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7EF16DD1-5C2F-4BF3-8B1A-79CE5DBA5009}"/>
            </a:ext>
          </a:extLst>
        </xdr:cNvPr>
        <xdr:cNvSpPr/>
      </xdr:nvSpPr>
      <xdr:spPr>
        <a:xfrm rot="10800000">
          <a:off x="14250388" y="847020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150</xdr:row>
      <xdr:rowOff>196272</xdr:rowOff>
    </xdr:from>
    <xdr:to>
      <xdr:col>10</xdr:col>
      <xdr:colOff>2320636</xdr:colOff>
      <xdr:row>150</xdr:row>
      <xdr:rowOff>346363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05A232E5-57C2-4218-BE4A-48BFC4932D6B}"/>
            </a:ext>
          </a:extLst>
        </xdr:cNvPr>
        <xdr:cNvSpPr/>
      </xdr:nvSpPr>
      <xdr:spPr>
        <a:xfrm rot="10800000">
          <a:off x="14250388" y="85279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140</xdr:row>
      <xdr:rowOff>196272</xdr:rowOff>
    </xdr:from>
    <xdr:to>
      <xdr:col>8</xdr:col>
      <xdr:colOff>2320636</xdr:colOff>
      <xdr:row>140</xdr:row>
      <xdr:rowOff>346363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B6D20734-ACC4-48A3-AF80-6E055F16C483}"/>
            </a:ext>
          </a:extLst>
        </xdr:cNvPr>
        <xdr:cNvSpPr/>
      </xdr:nvSpPr>
      <xdr:spPr>
        <a:xfrm rot="10800000">
          <a:off x="10788731" y="79509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141</xdr:row>
      <xdr:rowOff>196272</xdr:rowOff>
    </xdr:from>
    <xdr:to>
      <xdr:col>8</xdr:col>
      <xdr:colOff>2320636</xdr:colOff>
      <xdr:row>141</xdr:row>
      <xdr:rowOff>346363</xdr:rowOff>
    </xdr:to>
    <xdr:sp macro="" textlink="">
      <xdr:nvSpPr>
        <xdr:cNvPr id="110" name="Isosceles Triangle 109">
          <a:extLst>
            <a:ext uri="{FF2B5EF4-FFF2-40B4-BE49-F238E27FC236}">
              <a16:creationId xmlns:a16="http://schemas.microsoft.com/office/drawing/2014/main" id="{0BC198F5-B00E-45E1-B763-E81A06D4E664}"/>
            </a:ext>
          </a:extLst>
        </xdr:cNvPr>
        <xdr:cNvSpPr/>
      </xdr:nvSpPr>
      <xdr:spPr>
        <a:xfrm rot="10800000">
          <a:off x="10788731" y="8008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142</xdr:row>
      <xdr:rowOff>196272</xdr:rowOff>
    </xdr:from>
    <xdr:to>
      <xdr:col>8</xdr:col>
      <xdr:colOff>2320636</xdr:colOff>
      <xdr:row>142</xdr:row>
      <xdr:rowOff>346363</xdr:rowOff>
    </xdr:to>
    <xdr:sp macro="" textlink="">
      <xdr:nvSpPr>
        <xdr:cNvPr id="111" name="Isosceles Triangle 110">
          <a:extLst>
            <a:ext uri="{FF2B5EF4-FFF2-40B4-BE49-F238E27FC236}">
              <a16:creationId xmlns:a16="http://schemas.microsoft.com/office/drawing/2014/main" id="{1BC5E351-FBC9-4B09-8B26-E430229A2D37}"/>
            </a:ext>
          </a:extLst>
        </xdr:cNvPr>
        <xdr:cNvSpPr/>
      </xdr:nvSpPr>
      <xdr:spPr>
        <a:xfrm rot="10800000">
          <a:off x="10788731" y="80663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143</xdr:row>
      <xdr:rowOff>196272</xdr:rowOff>
    </xdr:from>
    <xdr:to>
      <xdr:col>8</xdr:col>
      <xdr:colOff>2320636</xdr:colOff>
      <xdr:row>143</xdr:row>
      <xdr:rowOff>346363</xdr:rowOff>
    </xdr:to>
    <xdr:sp macro="" textlink="">
      <xdr:nvSpPr>
        <xdr:cNvPr id="112" name="Isosceles Triangle 111">
          <a:extLst>
            <a:ext uri="{FF2B5EF4-FFF2-40B4-BE49-F238E27FC236}">
              <a16:creationId xmlns:a16="http://schemas.microsoft.com/office/drawing/2014/main" id="{A7DEE942-41FF-4781-99D8-2216DF4FCBBA}"/>
            </a:ext>
          </a:extLst>
        </xdr:cNvPr>
        <xdr:cNvSpPr/>
      </xdr:nvSpPr>
      <xdr:spPr>
        <a:xfrm rot="10800000">
          <a:off x="10788731" y="81240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144</xdr:row>
      <xdr:rowOff>196272</xdr:rowOff>
    </xdr:from>
    <xdr:to>
      <xdr:col>8</xdr:col>
      <xdr:colOff>2320636</xdr:colOff>
      <xdr:row>144</xdr:row>
      <xdr:rowOff>346363</xdr:rowOff>
    </xdr:to>
    <xdr:sp macro="" textlink="">
      <xdr:nvSpPr>
        <xdr:cNvPr id="113" name="Isosceles Triangle 112">
          <a:extLst>
            <a:ext uri="{FF2B5EF4-FFF2-40B4-BE49-F238E27FC236}">
              <a16:creationId xmlns:a16="http://schemas.microsoft.com/office/drawing/2014/main" id="{0F99AB96-65DE-43C6-B756-A24A7C56BA2D}"/>
            </a:ext>
          </a:extLst>
        </xdr:cNvPr>
        <xdr:cNvSpPr/>
      </xdr:nvSpPr>
      <xdr:spPr>
        <a:xfrm rot="10800000">
          <a:off x="10788731" y="81817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140</xdr:row>
      <xdr:rowOff>196272</xdr:rowOff>
    </xdr:from>
    <xdr:to>
      <xdr:col>10</xdr:col>
      <xdr:colOff>2320636</xdr:colOff>
      <xdr:row>140</xdr:row>
      <xdr:rowOff>346363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E78F44DA-A689-4498-96C4-EC7113DBE2CE}"/>
            </a:ext>
          </a:extLst>
        </xdr:cNvPr>
        <xdr:cNvSpPr/>
      </xdr:nvSpPr>
      <xdr:spPr>
        <a:xfrm rot="10800000">
          <a:off x="14250388" y="79509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141</xdr:row>
      <xdr:rowOff>196272</xdr:rowOff>
    </xdr:from>
    <xdr:to>
      <xdr:col>10</xdr:col>
      <xdr:colOff>2320636</xdr:colOff>
      <xdr:row>141</xdr:row>
      <xdr:rowOff>346363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EA05B285-5CDB-4CF8-B899-BD3F499E5B5D}"/>
            </a:ext>
          </a:extLst>
        </xdr:cNvPr>
        <xdr:cNvSpPr/>
      </xdr:nvSpPr>
      <xdr:spPr>
        <a:xfrm rot="10800000">
          <a:off x="14250388" y="8008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142</xdr:row>
      <xdr:rowOff>196272</xdr:rowOff>
    </xdr:from>
    <xdr:to>
      <xdr:col>10</xdr:col>
      <xdr:colOff>2320636</xdr:colOff>
      <xdr:row>142</xdr:row>
      <xdr:rowOff>346363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9C3C4170-BE76-4CC0-9800-C9BCF34454AE}"/>
            </a:ext>
          </a:extLst>
        </xdr:cNvPr>
        <xdr:cNvSpPr/>
      </xdr:nvSpPr>
      <xdr:spPr>
        <a:xfrm rot="10800000">
          <a:off x="14250388" y="80663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143</xdr:row>
      <xdr:rowOff>196272</xdr:rowOff>
    </xdr:from>
    <xdr:to>
      <xdr:col>10</xdr:col>
      <xdr:colOff>2320636</xdr:colOff>
      <xdr:row>143</xdr:row>
      <xdr:rowOff>346363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id="{3CCF23BC-0160-4828-A21E-7D23F2AE475B}"/>
            </a:ext>
          </a:extLst>
        </xdr:cNvPr>
        <xdr:cNvSpPr/>
      </xdr:nvSpPr>
      <xdr:spPr>
        <a:xfrm rot="10800000">
          <a:off x="14250388" y="81240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144</xdr:row>
      <xdr:rowOff>196272</xdr:rowOff>
    </xdr:from>
    <xdr:to>
      <xdr:col>10</xdr:col>
      <xdr:colOff>2320636</xdr:colOff>
      <xdr:row>144</xdr:row>
      <xdr:rowOff>346363</xdr:rowOff>
    </xdr:to>
    <xdr:sp macro="" textlink="">
      <xdr:nvSpPr>
        <xdr:cNvPr id="118" name="Isosceles Triangle 117">
          <a:extLst>
            <a:ext uri="{FF2B5EF4-FFF2-40B4-BE49-F238E27FC236}">
              <a16:creationId xmlns:a16="http://schemas.microsoft.com/office/drawing/2014/main" id="{F61EA52F-2E9A-4B76-8854-9DE41283FCA9}"/>
            </a:ext>
          </a:extLst>
        </xdr:cNvPr>
        <xdr:cNvSpPr/>
      </xdr:nvSpPr>
      <xdr:spPr>
        <a:xfrm rot="10800000">
          <a:off x="14250388" y="81817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134</xdr:row>
      <xdr:rowOff>196272</xdr:rowOff>
    </xdr:from>
    <xdr:to>
      <xdr:col>8</xdr:col>
      <xdr:colOff>2320636</xdr:colOff>
      <xdr:row>134</xdr:row>
      <xdr:rowOff>346363</xdr:rowOff>
    </xdr:to>
    <xdr:sp macro="" textlink="">
      <xdr:nvSpPr>
        <xdr:cNvPr id="119" name="Isosceles Triangle 118">
          <a:extLst>
            <a:ext uri="{FF2B5EF4-FFF2-40B4-BE49-F238E27FC236}">
              <a16:creationId xmlns:a16="http://schemas.microsoft.com/office/drawing/2014/main" id="{14AA33B5-8486-434D-82CB-001F43BBABD4}"/>
            </a:ext>
          </a:extLst>
        </xdr:cNvPr>
        <xdr:cNvSpPr/>
      </xdr:nvSpPr>
      <xdr:spPr>
        <a:xfrm rot="10800000">
          <a:off x="10788731" y="7604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135</xdr:row>
      <xdr:rowOff>196272</xdr:rowOff>
    </xdr:from>
    <xdr:to>
      <xdr:col>8</xdr:col>
      <xdr:colOff>2320636</xdr:colOff>
      <xdr:row>135</xdr:row>
      <xdr:rowOff>346363</xdr:rowOff>
    </xdr:to>
    <xdr:sp macro="" textlink="">
      <xdr:nvSpPr>
        <xdr:cNvPr id="120" name="Isosceles Triangle 119">
          <a:extLst>
            <a:ext uri="{FF2B5EF4-FFF2-40B4-BE49-F238E27FC236}">
              <a16:creationId xmlns:a16="http://schemas.microsoft.com/office/drawing/2014/main" id="{C02A9661-7F1E-4CB4-89D0-DE4FF8F46F82}"/>
            </a:ext>
          </a:extLst>
        </xdr:cNvPr>
        <xdr:cNvSpPr/>
      </xdr:nvSpPr>
      <xdr:spPr>
        <a:xfrm rot="10800000">
          <a:off x="10788731" y="7662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136</xdr:row>
      <xdr:rowOff>196272</xdr:rowOff>
    </xdr:from>
    <xdr:to>
      <xdr:col>8</xdr:col>
      <xdr:colOff>2320636</xdr:colOff>
      <xdr:row>136</xdr:row>
      <xdr:rowOff>346363</xdr:rowOff>
    </xdr:to>
    <xdr:sp macro="" textlink="">
      <xdr:nvSpPr>
        <xdr:cNvPr id="121" name="Isosceles Triangle 120">
          <a:extLst>
            <a:ext uri="{FF2B5EF4-FFF2-40B4-BE49-F238E27FC236}">
              <a16:creationId xmlns:a16="http://schemas.microsoft.com/office/drawing/2014/main" id="{BF6C3A05-A97D-4D70-B5E5-3F3642780E8D}"/>
            </a:ext>
          </a:extLst>
        </xdr:cNvPr>
        <xdr:cNvSpPr/>
      </xdr:nvSpPr>
      <xdr:spPr>
        <a:xfrm rot="10800000">
          <a:off x="10788731" y="7720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137</xdr:row>
      <xdr:rowOff>196272</xdr:rowOff>
    </xdr:from>
    <xdr:to>
      <xdr:col>8</xdr:col>
      <xdr:colOff>2320636</xdr:colOff>
      <xdr:row>137</xdr:row>
      <xdr:rowOff>346363</xdr:rowOff>
    </xdr:to>
    <xdr:sp macro="" textlink="">
      <xdr:nvSpPr>
        <xdr:cNvPr id="122" name="Isosceles Triangle 121">
          <a:extLst>
            <a:ext uri="{FF2B5EF4-FFF2-40B4-BE49-F238E27FC236}">
              <a16:creationId xmlns:a16="http://schemas.microsoft.com/office/drawing/2014/main" id="{C41E2A6E-B617-41BB-A54F-8B87327333AB}"/>
            </a:ext>
          </a:extLst>
        </xdr:cNvPr>
        <xdr:cNvSpPr/>
      </xdr:nvSpPr>
      <xdr:spPr>
        <a:xfrm rot="10800000">
          <a:off x="10788731" y="77778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138</xdr:row>
      <xdr:rowOff>196272</xdr:rowOff>
    </xdr:from>
    <xdr:to>
      <xdr:col>8</xdr:col>
      <xdr:colOff>2320636</xdr:colOff>
      <xdr:row>138</xdr:row>
      <xdr:rowOff>346363</xdr:rowOff>
    </xdr:to>
    <xdr:sp macro="" textlink="">
      <xdr:nvSpPr>
        <xdr:cNvPr id="123" name="Isosceles Triangle 122">
          <a:extLst>
            <a:ext uri="{FF2B5EF4-FFF2-40B4-BE49-F238E27FC236}">
              <a16:creationId xmlns:a16="http://schemas.microsoft.com/office/drawing/2014/main" id="{88F8F442-EEF7-4CCF-B5AB-EEA25322DF60}"/>
            </a:ext>
          </a:extLst>
        </xdr:cNvPr>
        <xdr:cNvSpPr/>
      </xdr:nvSpPr>
      <xdr:spPr>
        <a:xfrm rot="10800000">
          <a:off x="10788731" y="78355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134</xdr:row>
      <xdr:rowOff>196272</xdr:rowOff>
    </xdr:from>
    <xdr:to>
      <xdr:col>10</xdr:col>
      <xdr:colOff>2320636</xdr:colOff>
      <xdr:row>134</xdr:row>
      <xdr:rowOff>346363</xdr:rowOff>
    </xdr:to>
    <xdr:sp macro="" textlink="">
      <xdr:nvSpPr>
        <xdr:cNvPr id="124" name="Isosceles Triangle 123">
          <a:extLst>
            <a:ext uri="{FF2B5EF4-FFF2-40B4-BE49-F238E27FC236}">
              <a16:creationId xmlns:a16="http://schemas.microsoft.com/office/drawing/2014/main" id="{A6A28516-2536-466C-AA89-980DFAAFB32D}"/>
            </a:ext>
          </a:extLst>
        </xdr:cNvPr>
        <xdr:cNvSpPr/>
      </xdr:nvSpPr>
      <xdr:spPr>
        <a:xfrm rot="10800000">
          <a:off x="14250388" y="7604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125" name="Isosceles Triangle 124">
          <a:extLst>
            <a:ext uri="{FF2B5EF4-FFF2-40B4-BE49-F238E27FC236}">
              <a16:creationId xmlns:a16="http://schemas.microsoft.com/office/drawing/2014/main" id="{F0C15080-BEF5-4D97-8433-02292F6C7E5E}"/>
            </a:ext>
          </a:extLst>
        </xdr:cNvPr>
        <xdr:cNvSpPr/>
      </xdr:nvSpPr>
      <xdr:spPr>
        <a:xfrm rot="10800000">
          <a:off x="14250388" y="7662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136</xdr:row>
      <xdr:rowOff>196272</xdr:rowOff>
    </xdr:from>
    <xdr:to>
      <xdr:col>10</xdr:col>
      <xdr:colOff>2320636</xdr:colOff>
      <xdr:row>136</xdr:row>
      <xdr:rowOff>346363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F0B07069-2DBE-44D8-BD89-A00D8C162302}"/>
            </a:ext>
          </a:extLst>
        </xdr:cNvPr>
        <xdr:cNvSpPr/>
      </xdr:nvSpPr>
      <xdr:spPr>
        <a:xfrm rot="10800000">
          <a:off x="14250388" y="7720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137</xdr:row>
      <xdr:rowOff>196272</xdr:rowOff>
    </xdr:from>
    <xdr:to>
      <xdr:col>10</xdr:col>
      <xdr:colOff>2320636</xdr:colOff>
      <xdr:row>137</xdr:row>
      <xdr:rowOff>346363</xdr:rowOff>
    </xdr:to>
    <xdr:sp macro="" textlink="">
      <xdr:nvSpPr>
        <xdr:cNvPr id="127" name="Isosceles Triangle 126">
          <a:extLst>
            <a:ext uri="{FF2B5EF4-FFF2-40B4-BE49-F238E27FC236}">
              <a16:creationId xmlns:a16="http://schemas.microsoft.com/office/drawing/2014/main" id="{D7D76342-69F2-4E50-8CA1-4E58BA946A31}"/>
            </a:ext>
          </a:extLst>
        </xdr:cNvPr>
        <xdr:cNvSpPr/>
      </xdr:nvSpPr>
      <xdr:spPr>
        <a:xfrm rot="10800000">
          <a:off x="14250388" y="77778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138</xdr:row>
      <xdr:rowOff>196272</xdr:rowOff>
    </xdr:from>
    <xdr:to>
      <xdr:col>10</xdr:col>
      <xdr:colOff>2320636</xdr:colOff>
      <xdr:row>138</xdr:row>
      <xdr:rowOff>346363</xdr:rowOff>
    </xdr:to>
    <xdr:sp macro="" textlink="">
      <xdr:nvSpPr>
        <xdr:cNvPr id="128" name="Isosceles Triangle 127">
          <a:extLst>
            <a:ext uri="{FF2B5EF4-FFF2-40B4-BE49-F238E27FC236}">
              <a16:creationId xmlns:a16="http://schemas.microsoft.com/office/drawing/2014/main" id="{0A5ED552-1A8D-471E-A14C-63E59516A196}"/>
            </a:ext>
          </a:extLst>
        </xdr:cNvPr>
        <xdr:cNvSpPr/>
      </xdr:nvSpPr>
      <xdr:spPr>
        <a:xfrm rot="10800000">
          <a:off x="14250388" y="78355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128</xdr:row>
      <xdr:rowOff>196272</xdr:rowOff>
    </xdr:from>
    <xdr:to>
      <xdr:col>8</xdr:col>
      <xdr:colOff>2320636</xdr:colOff>
      <xdr:row>128</xdr:row>
      <xdr:rowOff>346363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78EF3127-9B14-41A7-981B-B17895A92D94}"/>
            </a:ext>
          </a:extLst>
        </xdr:cNvPr>
        <xdr:cNvSpPr/>
      </xdr:nvSpPr>
      <xdr:spPr>
        <a:xfrm rot="10800000">
          <a:off x="10788731" y="7258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129</xdr:row>
      <xdr:rowOff>196272</xdr:rowOff>
    </xdr:from>
    <xdr:to>
      <xdr:col>8</xdr:col>
      <xdr:colOff>2320636</xdr:colOff>
      <xdr:row>129</xdr:row>
      <xdr:rowOff>346363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9A682C20-D086-4C36-92FE-70FE95D3F3F5}"/>
            </a:ext>
          </a:extLst>
        </xdr:cNvPr>
        <xdr:cNvSpPr/>
      </xdr:nvSpPr>
      <xdr:spPr>
        <a:xfrm rot="10800000">
          <a:off x="10788731" y="731632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130</xdr:row>
      <xdr:rowOff>196272</xdr:rowOff>
    </xdr:from>
    <xdr:to>
      <xdr:col>8</xdr:col>
      <xdr:colOff>2320636</xdr:colOff>
      <xdr:row>130</xdr:row>
      <xdr:rowOff>346363</xdr:rowOff>
    </xdr:to>
    <xdr:sp macro="" textlink="">
      <xdr:nvSpPr>
        <xdr:cNvPr id="131" name="Isosceles Triangle 130">
          <a:extLst>
            <a:ext uri="{FF2B5EF4-FFF2-40B4-BE49-F238E27FC236}">
              <a16:creationId xmlns:a16="http://schemas.microsoft.com/office/drawing/2014/main" id="{5642B7C3-F5FB-48F5-9AB0-27737339558B}"/>
            </a:ext>
          </a:extLst>
        </xdr:cNvPr>
        <xdr:cNvSpPr/>
      </xdr:nvSpPr>
      <xdr:spPr>
        <a:xfrm rot="10800000">
          <a:off x="10788731" y="737401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131</xdr:row>
      <xdr:rowOff>196272</xdr:rowOff>
    </xdr:from>
    <xdr:to>
      <xdr:col>8</xdr:col>
      <xdr:colOff>2320636</xdr:colOff>
      <xdr:row>131</xdr:row>
      <xdr:rowOff>346363</xdr:rowOff>
    </xdr:to>
    <xdr:sp macro="" textlink="">
      <xdr:nvSpPr>
        <xdr:cNvPr id="132" name="Isosceles Triangle 131">
          <a:extLst>
            <a:ext uri="{FF2B5EF4-FFF2-40B4-BE49-F238E27FC236}">
              <a16:creationId xmlns:a16="http://schemas.microsoft.com/office/drawing/2014/main" id="{6711BB97-7AF1-4CBC-94D1-2DB7C5335857}"/>
            </a:ext>
          </a:extLst>
        </xdr:cNvPr>
        <xdr:cNvSpPr/>
      </xdr:nvSpPr>
      <xdr:spPr>
        <a:xfrm rot="10800000">
          <a:off x="10788731" y="74317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132</xdr:row>
      <xdr:rowOff>196272</xdr:rowOff>
    </xdr:from>
    <xdr:to>
      <xdr:col>8</xdr:col>
      <xdr:colOff>2320636</xdr:colOff>
      <xdr:row>132</xdr:row>
      <xdr:rowOff>346363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50F84B64-8941-4B68-8F63-552252DC5175}"/>
            </a:ext>
          </a:extLst>
        </xdr:cNvPr>
        <xdr:cNvSpPr/>
      </xdr:nvSpPr>
      <xdr:spPr>
        <a:xfrm rot="10800000">
          <a:off x="10788731" y="74894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128</xdr:row>
      <xdr:rowOff>196272</xdr:rowOff>
    </xdr:from>
    <xdr:to>
      <xdr:col>10</xdr:col>
      <xdr:colOff>2320636</xdr:colOff>
      <xdr:row>128</xdr:row>
      <xdr:rowOff>346363</xdr:rowOff>
    </xdr:to>
    <xdr:sp macro="" textlink="">
      <xdr:nvSpPr>
        <xdr:cNvPr id="134" name="Isosceles Triangle 133">
          <a:extLst>
            <a:ext uri="{FF2B5EF4-FFF2-40B4-BE49-F238E27FC236}">
              <a16:creationId xmlns:a16="http://schemas.microsoft.com/office/drawing/2014/main" id="{80D14605-8D42-4BDD-BFAD-8040D2A877D2}"/>
            </a:ext>
          </a:extLst>
        </xdr:cNvPr>
        <xdr:cNvSpPr/>
      </xdr:nvSpPr>
      <xdr:spPr>
        <a:xfrm rot="10800000">
          <a:off x="14250388" y="7258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129</xdr:row>
      <xdr:rowOff>196272</xdr:rowOff>
    </xdr:from>
    <xdr:to>
      <xdr:col>10</xdr:col>
      <xdr:colOff>2320636</xdr:colOff>
      <xdr:row>129</xdr:row>
      <xdr:rowOff>346363</xdr:rowOff>
    </xdr:to>
    <xdr:sp macro="" textlink="">
      <xdr:nvSpPr>
        <xdr:cNvPr id="135" name="Isosceles Triangle 134">
          <a:extLst>
            <a:ext uri="{FF2B5EF4-FFF2-40B4-BE49-F238E27FC236}">
              <a16:creationId xmlns:a16="http://schemas.microsoft.com/office/drawing/2014/main" id="{D79D94F7-BA1E-49FF-8384-1D81CD17E94F}"/>
            </a:ext>
          </a:extLst>
        </xdr:cNvPr>
        <xdr:cNvSpPr/>
      </xdr:nvSpPr>
      <xdr:spPr>
        <a:xfrm rot="10800000">
          <a:off x="14250388" y="731632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130</xdr:row>
      <xdr:rowOff>196272</xdr:rowOff>
    </xdr:from>
    <xdr:to>
      <xdr:col>10</xdr:col>
      <xdr:colOff>2320636</xdr:colOff>
      <xdr:row>130</xdr:row>
      <xdr:rowOff>346363</xdr:rowOff>
    </xdr:to>
    <xdr:sp macro="" textlink="">
      <xdr:nvSpPr>
        <xdr:cNvPr id="136" name="Isosceles Triangle 135">
          <a:extLst>
            <a:ext uri="{FF2B5EF4-FFF2-40B4-BE49-F238E27FC236}">
              <a16:creationId xmlns:a16="http://schemas.microsoft.com/office/drawing/2014/main" id="{AC56A365-8F5C-4313-A19C-17378841C722}"/>
            </a:ext>
          </a:extLst>
        </xdr:cNvPr>
        <xdr:cNvSpPr/>
      </xdr:nvSpPr>
      <xdr:spPr>
        <a:xfrm rot="10800000">
          <a:off x="14250388" y="737401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131</xdr:row>
      <xdr:rowOff>196272</xdr:rowOff>
    </xdr:from>
    <xdr:to>
      <xdr:col>10</xdr:col>
      <xdr:colOff>2320636</xdr:colOff>
      <xdr:row>131</xdr:row>
      <xdr:rowOff>346363</xdr:rowOff>
    </xdr:to>
    <xdr:sp macro="" textlink="">
      <xdr:nvSpPr>
        <xdr:cNvPr id="137" name="Isosceles Triangle 136">
          <a:extLst>
            <a:ext uri="{FF2B5EF4-FFF2-40B4-BE49-F238E27FC236}">
              <a16:creationId xmlns:a16="http://schemas.microsoft.com/office/drawing/2014/main" id="{34FB5A34-C401-4D7F-9A09-B40617D13AF2}"/>
            </a:ext>
          </a:extLst>
        </xdr:cNvPr>
        <xdr:cNvSpPr/>
      </xdr:nvSpPr>
      <xdr:spPr>
        <a:xfrm rot="10800000">
          <a:off x="14250388" y="74317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132</xdr:row>
      <xdr:rowOff>196272</xdr:rowOff>
    </xdr:from>
    <xdr:to>
      <xdr:col>10</xdr:col>
      <xdr:colOff>2320636</xdr:colOff>
      <xdr:row>132</xdr:row>
      <xdr:rowOff>346363</xdr:rowOff>
    </xdr:to>
    <xdr:sp macro="" textlink="">
      <xdr:nvSpPr>
        <xdr:cNvPr id="138" name="Isosceles Triangle 137">
          <a:extLst>
            <a:ext uri="{FF2B5EF4-FFF2-40B4-BE49-F238E27FC236}">
              <a16:creationId xmlns:a16="http://schemas.microsoft.com/office/drawing/2014/main" id="{612B0CEE-8CDE-47EF-BAC4-96B9335BE5BC}"/>
            </a:ext>
          </a:extLst>
        </xdr:cNvPr>
        <xdr:cNvSpPr/>
      </xdr:nvSpPr>
      <xdr:spPr>
        <a:xfrm rot="10800000">
          <a:off x="14250388" y="74894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122</xdr:row>
      <xdr:rowOff>196272</xdr:rowOff>
    </xdr:from>
    <xdr:to>
      <xdr:col>8</xdr:col>
      <xdr:colOff>2320636</xdr:colOff>
      <xdr:row>122</xdr:row>
      <xdr:rowOff>346363</xdr:rowOff>
    </xdr:to>
    <xdr:sp macro="" textlink="">
      <xdr:nvSpPr>
        <xdr:cNvPr id="139" name="Isosceles Triangle 138">
          <a:extLst>
            <a:ext uri="{FF2B5EF4-FFF2-40B4-BE49-F238E27FC236}">
              <a16:creationId xmlns:a16="http://schemas.microsoft.com/office/drawing/2014/main" id="{628F9578-220F-47DF-9E48-D5B5FF287FF0}"/>
            </a:ext>
          </a:extLst>
        </xdr:cNvPr>
        <xdr:cNvSpPr/>
      </xdr:nvSpPr>
      <xdr:spPr>
        <a:xfrm rot="10800000">
          <a:off x="10788731" y="69048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123</xdr:row>
      <xdr:rowOff>196272</xdr:rowOff>
    </xdr:from>
    <xdr:to>
      <xdr:col>8</xdr:col>
      <xdr:colOff>2320636</xdr:colOff>
      <xdr:row>123</xdr:row>
      <xdr:rowOff>346363</xdr:rowOff>
    </xdr:to>
    <xdr:sp macro="" textlink="">
      <xdr:nvSpPr>
        <xdr:cNvPr id="140" name="Isosceles Triangle 139">
          <a:extLst>
            <a:ext uri="{FF2B5EF4-FFF2-40B4-BE49-F238E27FC236}">
              <a16:creationId xmlns:a16="http://schemas.microsoft.com/office/drawing/2014/main" id="{C7F308FE-A0C9-41E6-92D1-25F3628CEF58}"/>
            </a:ext>
          </a:extLst>
        </xdr:cNvPr>
        <xdr:cNvSpPr/>
      </xdr:nvSpPr>
      <xdr:spPr>
        <a:xfrm rot="10800000">
          <a:off x="10788731" y="69701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124</xdr:row>
      <xdr:rowOff>196272</xdr:rowOff>
    </xdr:from>
    <xdr:to>
      <xdr:col>8</xdr:col>
      <xdr:colOff>2320636</xdr:colOff>
      <xdr:row>124</xdr:row>
      <xdr:rowOff>346363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2BB1DA80-465D-433D-89F2-7F71053D98DA}"/>
            </a:ext>
          </a:extLst>
        </xdr:cNvPr>
        <xdr:cNvSpPr/>
      </xdr:nvSpPr>
      <xdr:spPr>
        <a:xfrm rot="10800000">
          <a:off x="10788731" y="70278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125</xdr:row>
      <xdr:rowOff>196272</xdr:rowOff>
    </xdr:from>
    <xdr:to>
      <xdr:col>8</xdr:col>
      <xdr:colOff>2320636</xdr:colOff>
      <xdr:row>125</xdr:row>
      <xdr:rowOff>346363</xdr:rowOff>
    </xdr:to>
    <xdr:sp macro="" textlink="">
      <xdr:nvSpPr>
        <xdr:cNvPr id="142" name="Isosceles Triangle 141">
          <a:extLst>
            <a:ext uri="{FF2B5EF4-FFF2-40B4-BE49-F238E27FC236}">
              <a16:creationId xmlns:a16="http://schemas.microsoft.com/office/drawing/2014/main" id="{321B9027-0585-43BC-9213-2C97A8D47F45}"/>
            </a:ext>
          </a:extLst>
        </xdr:cNvPr>
        <xdr:cNvSpPr/>
      </xdr:nvSpPr>
      <xdr:spPr>
        <a:xfrm rot="10800000">
          <a:off x="10788731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126</xdr:row>
      <xdr:rowOff>196272</xdr:rowOff>
    </xdr:from>
    <xdr:to>
      <xdr:col>8</xdr:col>
      <xdr:colOff>2320636</xdr:colOff>
      <xdr:row>126</xdr:row>
      <xdr:rowOff>346363</xdr:rowOff>
    </xdr:to>
    <xdr:sp macro="" textlink="">
      <xdr:nvSpPr>
        <xdr:cNvPr id="143" name="Isosceles Triangle 142">
          <a:extLst>
            <a:ext uri="{FF2B5EF4-FFF2-40B4-BE49-F238E27FC236}">
              <a16:creationId xmlns:a16="http://schemas.microsoft.com/office/drawing/2014/main" id="{1975A84F-E1B7-4471-B7F8-C9E5BD5D6E4D}"/>
            </a:ext>
          </a:extLst>
        </xdr:cNvPr>
        <xdr:cNvSpPr/>
      </xdr:nvSpPr>
      <xdr:spPr>
        <a:xfrm rot="10800000">
          <a:off x="10788731" y="71432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122</xdr:row>
      <xdr:rowOff>196272</xdr:rowOff>
    </xdr:from>
    <xdr:to>
      <xdr:col>10</xdr:col>
      <xdr:colOff>2320636</xdr:colOff>
      <xdr:row>122</xdr:row>
      <xdr:rowOff>346363</xdr:rowOff>
    </xdr:to>
    <xdr:sp macro="" textlink="">
      <xdr:nvSpPr>
        <xdr:cNvPr id="144" name="Isosceles Triangle 143">
          <a:extLst>
            <a:ext uri="{FF2B5EF4-FFF2-40B4-BE49-F238E27FC236}">
              <a16:creationId xmlns:a16="http://schemas.microsoft.com/office/drawing/2014/main" id="{954F435E-6FC5-4918-8D51-6DFFEC5D6665}"/>
            </a:ext>
          </a:extLst>
        </xdr:cNvPr>
        <xdr:cNvSpPr/>
      </xdr:nvSpPr>
      <xdr:spPr>
        <a:xfrm rot="10800000">
          <a:off x="14250388" y="69048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123</xdr:row>
      <xdr:rowOff>196272</xdr:rowOff>
    </xdr:from>
    <xdr:to>
      <xdr:col>10</xdr:col>
      <xdr:colOff>2320636</xdr:colOff>
      <xdr:row>123</xdr:row>
      <xdr:rowOff>346363</xdr:rowOff>
    </xdr:to>
    <xdr:sp macro="" textlink="">
      <xdr:nvSpPr>
        <xdr:cNvPr id="145" name="Isosceles Triangle 144">
          <a:extLst>
            <a:ext uri="{FF2B5EF4-FFF2-40B4-BE49-F238E27FC236}">
              <a16:creationId xmlns:a16="http://schemas.microsoft.com/office/drawing/2014/main" id="{DF9FD571-CE2A-419F-84C1-CF613F35FCA8}"/>
            </a:ext>
          </a:extLst>
        </xdr:cNvPr>
        <xdr:cNvSpPr/>
      </xdr:nvSpPr>
      <xdr:spPr>
        <a:xfrm rot="10800000">
          <a:off x="14250388" y="69701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124</xdr:row>
      <xdr:rowOff>196272</xdr:rowOff>
    </xdr:from>
    <xdr:to>
      <xdr:col>10</xdr:col>
      <xdr:colOff>2320636</xdr:colOff>
      <xdr:row>124</xdr:row>
      <xdr:rowOff>346363</xdr:rowOff>
    </xdr:to>
    <xdr:sp macro="" textlink="">
      <xdr:nvSpPr>
        <xdr:cNvPr id="146" name="Isosceles Triangle 145">
          <a:extLst>
            <a:ext uri="{FF2B5EF4-FFF2-40B4-BE49-F238E27FC236}">
              <a16:creationId xmlns:a16="http://schemas.microsoft.com/office/drawing/2014/main" id="{10984794-0DE2-49AF-A70D-808FD991FCAD}"/>
            </a:ext>
          </a:extLst>
        </xdr:cNvPr>
        <xdr:cNvSpPr/>
      </xdr:nvSpPr>
      <xdr:spPr>
        <a:xfrm rot="10800000">
          <a:off x="14250388" y="70278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48F267EB-D162-441D-B30C-0066FF181224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126</xdr:row>
      <xdr:rowOff>196272</xdr:rowOff>
    </xdr:from>
    <xdr:to>
      <xdr:col>10</xdr:col>
      <xdr:colOff>2320636</xdr:colOff>
      <xdr:row>126</xdr:row>
      <xdr:rowOff>346363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B89D064E-096A-4ECF-9190-D0A64F014A6D}"/>
            </a:ext>
          </a:extLst>
        </xdr:cNvPr>
        <xdr:cNvSpPr/>
      </xdr:nvSpPr>
      <xdr:spPr>
        <a:xfrm rot="10800000">
          <a:off x="14250388" y="71432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116</xdr:row>
      <xdr:rowOff>196272</xdr:rowOff>
    </xdr:from>
    <xdr:to>
      <xdr:col>8</xdr:col>
      <xdr:colOff>2320636</xdr:colOff>
      <xdr:row>116</xdr:row>
      <xdr:rowOff>346363</xdr:rowOff>
    </xdr:to>
    <xdr:sp macro="" textlink="">
      <xdr:nvSpPr>
        <xdr:cNvPr id="149" name="Isosceles Triangle 148">
          <a:extLst>
            <a:ext uri="{FF2B5EF4-FFF2-40B4-BE49-F238E27FC236}">
              <a16:creationId xmlns:a16="http://schemas.microsoft.com/office/drawing/2014/main" id="{B949A232-D6B4-4B76-8BC9-4837831E2901}"/>
            </a:ext>
          </a:extLst>
        </xdr:cNvPr>
        <xdr:cNvSpPr/>
      </xdr:nvSpPr>
      <xdr:spPr>
        <a:xfrm rot="10800000">
          <a:off x="10788731" y="65586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117</xdr:row>
      <xdr:rowOff>196272</xdr:rowOff>
    </xdr:from>
    <xdr:to>
      <xdr:col>8</xdr:col>
      <xdr:colOff>2320636</xdr:colOff>
      <xdr:row>117</xdr:row>
      <xdr:rowOff>346363</xdr:rowOff>
    </xdr:to>
    <xdr:sp macro="" textlink="">
      <xdr:nvSpPr>
        <xdr:cNvPr id="150" name="Isosceles Triangle 149">
          <a:extLst>
            <a:ext uri="{FF2B5EF4-FFF2-40B4-BE49-F238E27FC236}">
              <a16:creationId xmlns:a16="http://schemas.microsoft.com/office/drawing/2014/main" id="{71BEFF85-8B01-442A-A76A-E10188757AB7}"/>
            </a:ext>
          </a:extLst>
        </xdr:cNvPr>
        <xdr:cNvSpPr/>
      </xdr:nvSpPr>
      <xdr:spPr>
        <a:xfrm rot="10800000">
          <a:off x="10788731" y="66163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118</xdr:row>
      <xdr:rowOff>196272</xdr:rowOff>
    </xdr:from>
    <xdr:to>
      <xdr:col>8</xdr:col>
      <xdr:colOff>2320636</xdr:colOff>
      <xdr:row>118</xdr:row>
      <xdr:rowOff>346363</xdr:rowOff>
    </xdr:to>
    <xdr:sp macro="" textlink="">
      <xdr:nvSpPr>
        <xdr:cNvPr id="151" name="Isosceles Triangle 150">
          <a:extLst>
            <a:ext uri="{FF2B5EF4-FFF2-40B4-BE49-F238E27FC236}">
              <a16:creationId xmlns:a16="http://schemas.microsoft.com/office/drawing/2014/main" id="{A41FAFAA-1E96-41FC-B783-0080FC3D74F2}"/>
            </a:ext>
          </a:extLst>
        </xdr:cNvPr>
        <xdr:cNvSpPr/>
      </xdr:nvSpPr>
      <xdr:spPr>
        <a:xfrm rot="10800000">
          <a:off x="10788731" y="66740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119</xdr:row>
      <xdr:rowOff>196272</xdr:rowOff>
    </xdr:from>
    <xdr:to>
      <xdr:col>8</xdr:col>
      <xdr:colOff>2320636</xdr:colOff>
      <xdr:row>119</xdr:row>
      <xdr:rowOff>346363</xdr:rowOff>
    </xdr:to>
    <xdr:sp macro="" textlink="">
      <xdr:nvSpPr>
        <xdr:cNvPr id="152" name="Isosceles Triangle 151">
          <a:extLst>
            <a:ext uri="{FF2B5EF4-FFF2-40B4-BE49-F238E27FC236}">
              <a16:creationId xmlns:a16="http://schemas.microsoft.com/office/drawing/2014/main" id="{ADBC35F3-FEB7-4876-BEF9-AAAFEFB18873}"/>
            </a:ext>
          </a:extLst>
        </xdr:cNvPr>
        <xdr:cNvSpPr/>
      </xdr:nvSpPr>
      <xdr:spPr>
        <a:xfrm rot="10800000">
          <a:off x="10788731" y="67317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120</xdr:row>
      <xdr:rowOff>196272</xdr:rowOff>
    </xdr:from>
    <xdr:to>
      <xdr:col>8</xdr:col>
      <xdr:colOff>2320636</xdr:colOff>
      <xdr:row>120</xdr:row>
      <xdr:rowOff>346363</xdr:rowOff>
    </xdr:to>
    <xdr:sp macro="" textlink="">
      <xdr:nvSpPr>
        <xdr:cNvPr id="153" name="Isosceles Triangle 152">
          <a:extLst>
            <a:ext uri="{FF2B5EF4-FFF2-40B4-BE49-F238E27FC236}">
              <a16:creationId xmlns:a16="http://schemas.microsoft.com/office/drawing/2014/main" id="{3A942C80-D488-42CB-903D-CCB8A60A2995}"/>
            </a:ext>
          </a:extLst>
        </xdr:cNvPr>
        <xdr:cNvSpPr/>
      </xdr:nvSpPr>
      <xdr:spPr>
        <a:xfrm rot="10800000">
          <a:off x="10788731" y="67894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116</xdr:row>
      <xdr:rowOff>196272</xdr:rowOff>
    </xdr:from>
    <xdr:to>
      <xdr:col>10</xdr:col>
      <xdr:colOff>2320636</xdr:colOff>
      <xdr:row>116</xdr:row>
      <xdr:rowOff>346363</xdr:rowOff>
    </xdr:to>
    <xdr:sp macro="" textlink="">
      <xdr:nvSpPr>
        <xdr:cNvPr id="154" name="Isosceles Triangle 153">
          <a:extLst>
            <a:ext uri="{FF2B5EF4-FFF2-40B4-BE49-F238E27FC236}">
              <a16:creationId xmlns:a16="http://schemas.microsoft.com/office/drawing/2014/main" id="{95465912-898E-4B2B-BA94-DA37CD1A485E}"/>
            </a:ext>
          </a:extLst>
        </xdr:cNvPr>
        <xdr:cNvSpPr/>
      </xdr:nvSpPr>
      <xdr:spPr>
        <a:xfrm rot="10800000">
          <a:off x="14250388" y="65586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117</xdr:row>
      <xdr:rowOff>196272</xdr:rowOff>
    </xdr:from>
    <xdr:to>
      <xdr:col>10</xdr:col>
      <xdr:colOff>2320636</xdr:colOff>
      <xdr:row>117</xdr:row>
      <xdr:rowOff>346363</xdr:rowOff>
    </xdr:to>
    <xdr:sp macro="" textlink="">
      <xdr:nvSpPr>
        <xdr:cNvPr id="155" name="Isosceles Triangle 154">
          <a:extLst>
            <a:ext uri="{FF2B5EF4-FFF2-40B4-BE49-F238E27FC236}">
              <a16:creationId xmlns:a16="http://schemas.microsoft.com/office/drawing/2014/main" id="{BD878A89-5345-4828-BA0D-9134EC371F86}"/>
            </a:ext>
          </a:extLst>
        </xdr:cNvPr>
        <xdr:cNvSpPr/>
      </xdr:nvSpPr>
      <xdr:spPr>
        <a:xfrm rot="10800000">
          <a:off x="14250388" y="66163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118</xdr:row>
      <xdr:rowOff>196272</xdr:rowOff>
    </xdr:from>
    <xdr:to>
      <xdr:col>10</xdr:col>
      <xdr:colOff>2320636</xdr:colOff>
      <xdr:row>118</xdr:row>
      <xdr:rowOff>346363</xdr:rowOff>
    </xdr:to>
    <xdr:sp macro="" textlink="">
      <xdr:nvSpPr>
        <xdr:cNvPr id="156" name="Isosceles Triangle 155">
          <a:extLst>
            <a:ext uri="{FF2B5EF4-FFF2-40B4-BE49-F238E27FC236}">
              <a16:creationId xmlns:a16="http://schemas.microsoft.com/office/drawing/2014/main" id="{9179FE93-0BF0-4881-9BAD-1D3EC675888E}"/>
            </a:ext>
          </a:extLst>
        </xdr:cNvPr>
        <xdr:cNvSpPr/>
      </xdr:nvSpPr>
      <xdr:spPr>
        <a:xfrm rot="10800000">
          <a:off x="14250388" y="66740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119</xdr:row>
      <xdr:rowOff>196272</xdr:rowOff>
    </xdr:from>
    <xdr:to>
      <xdr:col>10</xdr:col>
      <xdr:colOff>2320636</xdr:colOff>
      <xdr:row>119</xdr:row>
      <xdr:rowOff>346363</xdr:rowOff>
    </xdr:to>
    <xdr:sp macro="" textlink="">
      <xdr:nvSpPr>
        <xdr:cNvPr id="157" name="Isosceles Triangle 156">
          <a:extLst>
            <a:ext uri="{FF2B5EF4-FFF2-40B4-BE49-F238E27FC236}">
              <a16:creationId xmlns:a16="http://schemas.microsoft.com/office/drawing/2014/main" id="{717E0214-0BAD-48EA-9861-E22DAACDF114}"/>
            </a:ext>
          </a:extLst>
        </xdr:cNvPr>
        <xdr:cNvSpPr/>
      </xdr:nvSpPr>
      <xdr:spPr>
        <a:xfrm rot="10800000">
          <a:off x="14250388" y="67317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120</xdr:row>
      <xdr:rowOff>196272</xdr:rowOff>
    </xdr:from>
    <xdr:to>
      <xdr:col>10</xdr:col>
      <xdr:colOff>2320636</xdr:colOff>
      <xdr:row>120</xdr:row>
      <xdr:rowOff>346363</xdr:rowOff>
    </xdr:to>
    <xdr:sp macro="" textlink="">
      <xdr:nvSpPr>
        <xdr:cNvPr id="158" name="Isosceles Triangle 157">
          <a:extLst>
            <a:ext uri="{FF2B5EF4-FFF2-40B4-BE49-F238E27FC236}">
              <a16:creationId xmlns:a16="http://schemas.microsoft.com/office/drawing/2014/main" id="{CD6710B4-0EAF-4D60-A3AF-9C96AFAF14F0}"/>
            </a:ext>
          </a:extLst>
        </xdr:cNvPr>
        <xdr:cNvSpPr/>
      </xdr:nvSpPr>
      <xdr:spPr>
        <a:xfrm rot="10800000">
          <a:off x="14250388" y="67894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110</xdr:row>
      <xdr:rowOff>196272</xdr:rowOff>
    </xdr:from>
    <xdr:to>
      <xdr:col>8</xdr:col>
      <xdr:colOff>2320636</xdr:colOff>
      <xdr:row>110</xdr:row>
      <xdr:rowOff>346363</xdr:rowOff>
    </xdr:to>
    <xdr:sp macro="" textlink="">
      <xdr:nvSpPr>
        <xdr:cNvPr id="159" name="Isosceles Triangle 158">
          <a:extLst>
            <a:ext uri="{FF2B5EF4-FFF2-40B4-BE49-F238E27FC236}">
              <a16:creationId xmlns:a16="http://schemas.microsoft.com/office/drawing/2014/main" id="{46265EFE-C15F-4157-80F0-27253CA4266B}"/>
            </a:ext>
          </a:extLst>
        </xdr:cNvPr>
        <xdr:cNvSpPr/>
      </xdr:nvSpPr>
      <xdr:spPr>
        <a:xfrm rot="10800000">
          <a:off x="10788731" y="62125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111</xdr:row>
      <xdr:rowOff>196272</xdr:rowOff>
    </xdr:from>
    <xdr:to>
      <xdr:col>8</xdr:col>
      <xdr:colOff>2320636</xdr:colOff>
      <xdr:row>111</xdr:row>
      <xdr:rowOff>346363</xdr:rowOff>
    </xdr:to>
    <xdr:sp macro="" textlink="">
      <xdr:nvSpPr>
        <xdr:cNvPr id="160" name="Isosceles Triangle 159">
          <a:extLst>
            <a:ext uri="{FF2B5EF4-FFF2-40B4-BE49-F238E27FC236}">
              <a16:creationId xmlns:a16="http://schemas.microsoft.com/office/drawing/2014/main" id="{395AA8D2-6FFD-43B7-B15E-761F57DBD3BC}"/>
            </a:ext>
          </a:extLst>
        </xdr:cNvPr>
        <xdr:cNvSpPr/>
      </xdr:nvSpPr>
      <xdr:spPr>
        <a:xfrm rot="10800000">
          <a:off x="10788731" y="62702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112</xdr:row>
      <xdr:rowOff>196272</xdr:rowOff>
    </xdr:from>
    <xdr:to>
      <xdr:col>8</xdr:col>
      <xdr:colOff>2320636</xdr:colOff>
      <xdr:row>112</xdr:row>
      <xdr:rowOff>346363</xdr:rowOff>
    </xdr:to>
    <xdr:sp macro="" textlink="">
      <xdr:nvSpPr>
        <xdr:cNvPr id="161" name="Isosceles Triangle 160">
          <a:extLst>
            <a:ext uri="{FF2B5EF4-FFF2-40B4-BE49-F238E27FC236}">
              <a16:creationId xmlns:a16="http://schemas.microsoft.com/office/drawing/2014/main" id="{1EE05704-1143-4E6F-BBDF-AEBF906AAF08}"/>
            </a:ext>
          </a:extLst>
        </xdr:cNvPr>
        <xdr:cNvSpPr/>
      </xdr:nvSpPr>
      <xdr:spPr>
        <a:xfrm rot="10800000">
          <a:off x="10788731" y="63278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113</xdr:row>
      <xdr:rowOff>196272</xdr:rowOff>
    </xdr:from>
    <xdr:to>
      <xdr:col>8</xdr:col>
      <xdr:colOff>2320636</xdr:colOff>
      <xdr:row>113</xdr:row>
      <xdr:rowOff>346363</xdr:rowOff>
    </xdr:to>
    <xdr:sp macro="" textlink="">
      <xdr:nvSpPr>
        <xdr:cNvPr id="162" name="Isosceles Triangle 161">
          <a:extLst>
            <a:ext uri="{FF2B5EF4-FFF2-40B4-BE49-F238E27FC236}">
              <a16:creationId xmlns:a16="http://schemas.microsoft.com/office/drawing/2014/main" id="{91577A98-51D1-40E5-B780-C582D7118A48}"/>
            </a:ext>
          </a:extLst>
        </xdr:cNvPr>
        <xdr:cNvSpPr/>
      </xdr:nvSpPr>
      <xdr:spPr>
        <a:xfrm rot="10800000">
          <a:off x="10788731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114</xdr:row>
      <xdr:rowOff>196272</xdr:rowOff>
    </xdr:from>
    <xdr:to>
      <xdr:col>8</xdr:col>
      <xdr:colOff>2320636</xdr:colOff>
      <xdr:row>114</xdr:row>
      <xdr:rowOff>346363</xdr:rowOff>
    </xdr:to>
    <xdr:sp macro="" textlink="">
      <xdr:nvSpPr>
        <xdr:cNvPr id="163" name="Isosceles Triangle 162">
          <a:extLst>
            <a:ext uri="{FF2B5EF4-FFF2-40B4-BE49-F238E27FC236}">
              <a16:creationId xmlns:a16="http://schemas.microsoft.com/office/drawing/2014/main" id="{F6777C79-2EF4-414D-8EF4-64F229F037FD}"/>
            </a:ext>
          </a:extLst>
        </xdr:cNvPr>
        <xdr:cNvSpPr/>
      </xdr:nvSpPr>
      <xdr:spPr>
        <a:xfrm rot="10800000">
          <a:off x="10788731" y="64432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110</xdr:row>
      <xdr:rowOff>196272</xdr:rowOff>
    </xdr:from>
    <xdr:to>
      <xdr:col>10</xdr:col>
      <xdr:colOff>2320636</xdr:colOff>
      <xdr:row>110</xdr:row>
      <xdr:rowOff>346363</xdr:rowOff>
    </xdr:to>
    <xdr:sp macro="" textlink="">
      <xdr:nvSpPr>
        <xdr:cNvPr id="164" name="Isosceles Triangle 163">
          <a:extLst>
            <a:ext uri="{FF2B5EF4-FFF2-40B4-BE49-F238E27FC236}">
              <a16:creationId xmlns:a16="http://schemas.microsoft.com/office/drawing/2014/main" id="{AEDD1802-ABCC-4728-AA57-037D50B1C6CA}"/>
            </a:ext>
          </a:extLst>
        </xdr:cNvPr>
        <xdr:cNvSpPr/>
      </xdr:nvSpPr>
      <xdr:spPr>
        <a:xfrm rot="10800000">
          <a:off x="14250388" y="62125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111</xdr:row>
      <xdr:rowOff>196272</xdr:rowOff>
    </xdr:from>
    <xdr:to>
      <xdr:col>10</xdr:col>
      <xdr:colOff>2320636</xdr:colOff>
      <xdr:row>111</xdr:row>
      <xdr:rowOff>346363</xdr:rowOff>
    </xdr:to>
    <xdr:sp macro="" textlink="">
      <xdr:nvSpPr>
        <xdr:cNvPr id="165" name="Isosceles Triangle 164">
          <a:extLst>
            <a:ext uri="{FF2B5EF4-FFF2-40B4-BE49-F238E27FC236}">
              <a16:creationId xmlns:a16="http://schemas.microsoft.com/office/drawing/2014/main" id="{A5723D17-23DA-4679-8980-4355AF816B90}"/>
            </a:ext>
          </a:extLst>
        </xdr:cNvPr>
        <xdr:cNvSpPr/>
      </xdr:nvSpPr>
      <xdr:spPr>
        <a:xfrm rot="10800000">
          <a:off x="14250388" y="62702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112</xdr:row>
      <xdr:rowOff>196272</xdr:rowOff>
    </xdr:from>
    <xdr:to>
      <xdr:col>10</xdr:col>
      <xdr:colOff>2320636</xdr:colOff>
      <xdr:row>112</xdr:row>
      <xdr:rowOff>346363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6B04CD4B-C67F-4715-940C-63D6718ED28D}"/>
            </a:ext>
          </a:extLst>
        </xdr:cNvPr>
        <xdr:cNvSpPr/>
      </xdr:nvSpPr>
      <xdr:spPr>
        <a:xfrm rot="10800000">
          <a:off x="14250388" y="63278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4E4FD986-39E8-418C-9B85-31484D19EB46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114</xdr:row>
      <xdr:rowOff>196272</xdr:rowOff>
    </xdr:from>
    <xdr:to>
      <xdr:col>10</xdr:col>
      <xdr:colOff>2320636</xdr:colOff>
      <xdr:row>114</xdr:row>
      <xdr:rowOff>346363</xdr:rowOff>
    </xdr:to>
    <xdr:sp macro="" textlink="">
      <xdr:nvSpPr>
        <xdr:cNvPr id="168" name="Isosceles Triangle 167">
          <a:extLst>
            <a:ext uri="{FF2B5EF4-FFF2-40B4-BE49-F238E27FC236}">
              <a16:creationId xmlns:a16="http://schemas.microsoft.com/office/drawing/2014/main" id="{13A7E95D-EA40-4157-AE08-0770316A8ECA}"/>
            </a:ext>
          </a:extLst>
        </xdr:cNvPr>
        <xdr:cNvSpPr/>
      </xdr:nvSpPr>
      <xdr:spPr>
        <a:xfrm rot="10800000">
          <a:off x="14250388" y="64432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104</xdr:row>
      <xdr:rowOff>196272</xdr:rowOff>
    </xdr:from>
    <xdr:to>
      <xdr:col>8</xdr:col>
      <xdr:colOff>2320636</xdr:colOff>
      <xdr:row>104</xdr:row>
      <xdr:rowOff>346363</xdr:rowOff>
    </xdr:to>
    <xdr:sp macro="" textlink="">
      <xdr:nvSpPr>
        <xdr:cNvPr id="169" name="Isosceles Triangle 168">
          <a:extLst>
            <a:ext uri="{FF2B5EF4-FFF2-40B4-BE49-F238E27FC236}">
              <a16:creationId xmlns:a16="http://schemas.microsoft.com/office/drawing/2014/main" id="{DFBBFB9C-1B42-49C9-BC7C-0A53830C68FF}"/>
            </a:ext>
          </a:extLst>
        </xdr:cNvPr>
        <xdr:cNvSpPr/>
      </xdr:nvSpPr>
      <xdr:spPr>
        <a:xfrm rot="10800000">
          <a:off x="10788731" y="58663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105</xdr:row>
      <xdr:rowOff>196272</xdr:rowOff>
    </xdr:from>
    <xdr:to>
      <xdr:col>8</xdr:col>
      <xdr:colOff>2320636</xdr:colOff>
      <xdr:row>105</xdr:row>
      <xdr:rowOff>346363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9003348E-90D2-435D-AAA3-06139FF63D3A}"/>
            </a:ext>
          </a:extLst>
        </xdr:cNvPr>
        <xdr:cNvSpPr/>
      </xdr:nvSpPr>
      <xdr:spPr>
        <a:xfrm rot="10800000">
          <a:off x="10788731" y="59240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106</xdr:row>
      <xdr:rowOff>196272</xdr:rowOff>
    </xdr:from>
    <xdr:to>
      <xdr:col>8</xdr:col>
      <xdr:colOff>2320636</xdr:colOff>
      <xdr:row>106</xdr:row>
      <xdr:rowOff>346363</xdr:rowOff>
    </xdr:to>
    <xdr:sp macro="" textlink="">
      <xdr:nvSpPr>
        <xdr:cNvPr id="171" name="Isosceles Triangle 170">
          <a:extLst>
            <a:ext uri="{FF2B5EF4-FFF2-40B4-BE49-F238E27FC236}">
              <a16:creationId xmlns:a16="http://schemas.microsoft.com/office/drawing/2014/main" id="{AADAD529-4E13-45B2-A97A-84C49C4C849F}"/>
            </a:ext>
          </a:extLst>
        </xdr:cNvPr>
        <xdr:cNvSpPr/>
      </xdr:nvSpPr>
      <xdr:spPr>
        <a:xfrm rot="10800000">
          <a:off x="10788731" y="59817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107</xdr:row>
      <xdr:rowOff>196272</xdr:rowOff>
    </xdr:from>
    <xdr:to>
      <xdr:col>8</xdr:col>
      <xdr:colOff>2320636</xdr:colOff>
      <xdr:row>107</xdr:row>
      <xdr:rowOff>346363</xdr:rowOff>
    </xdr:to>
    <xdr:sp macro="" textlink="">
      <xdr:nvSpPr>
        <xdr:cNvPr id="172" name="Isosceles Triangle 171">
          <a:extLst>
            <a:ext uri="{FF2B5EF4-FFF2-40B4-BE49-F238E27FC236}">
              <a16:creationId xmlns:a16="http://schemas.microsoft.com/office/drawing/2014/main" id="{27D2486D-E047-4110-A7B7-CDE991360C3F}"/>
            </a:ext>
          </a:extLst>
        </xdr:cNvPr>
        <xdr:cNvSpPr/>
      </xdr:nvSpPr>
      <xdr:spPr>
        <a:xfrm rot="10800000">
          <a:off x="10788731" y="6039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108</xdr:row>
      <xdr:rowOff>196272</xdr:rowOff>
    </xdr:from>
    <xdr:to>
      <xdr:col>8</xdr:col>
      <xdr:colOff>2320636</xdr:colOff>
      <xdr:row>108</xdr:row>
      <xdr:rowOff>346363</xdr:rowOff>
    </xdr:to>
    <xdr:sp macro="" textlink="">
      <xdr:nvSpPr>
        <xdr:cNvPr id="173" name="Isosceles Triangle 172">
          <a:extLst>
            <a:ext uri="{FF2B5EF4-FFF2-40B4-BE49-F238E27FC236}">
              <a16:creationId xmlns:a16="http://schemas.microsoft.com/office/drawing/2014/main" id="{A84FDB70-BA01-401A-899C-88AAF82D95C5}"/>
            </a:ext>
          </a:extLst>
        </xdr:cNvPr>
        <xdr:cNvSpPr/>
      </xdr:nvSpPr>
      <xdr:spPr>
        <a:xfrm rot="10800000">
          <a:off x="10788731" y="609712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104</xdr:row>
      <xdr:rowOff>196272</xdr:rowOff>
    </xdr:from>
    <xdr:to>
      <xdr:col>10</xdr:col>
      <xdr:colOff>2320636</xdr:colOff>
      <xdr:row>104</xdr:row>
      <xdr:rowOff>346363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E2DEA3DF-63F7-4F2B-93EE-79A04F718F52}"/>
            </a:ext>
          </a:extLst>
        </xdr:cNvPr>
        <xdr:cNvSpPr/>
      </xdr:nvSpPr>
      <xdr:spPr>
        <a:xfrm rot="10800000">
          <a:off x="14250388" y="58663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105</xdr:row>
      <xdr:rowOff>196272</xdr:rowOff>
    </xdr:from>
    <xdr:to>
      <xdr:col>10</xdr:col>
      <xdr:colOff>2320636</xdr:colOff>
      <xdr:row>105</xdr:row>
      <xdr:rowOff>346363</xdr:rowOff>
    </xdr:to>
    <xdr:sp macro="" textlink="">
      <xdr:nvSpPr>
        <xdr:cNvPr id="175" name="Isosceles Triangle 174">
          <a:extLst>
            <a:ext uri="{FF2B5EF4-FFF2-40B4-BE49-F238E27FC236}">
              <a16:creationId xmlns:a16="http://schemas.microsoft.com/office/drawing/2014/main" id="{99A72D49-C32F-40A0-905E-3215A5B227F9}"/>
            </a:ext>
          </a:extLst>
        </xdr:cNvPr>
        <xdr:cNvSpPr/>
      </xdr:nvSpPr>
      <xdr:spPr>
        <a:xfrm rot="10800000">
          <a:off x="14250388" y="59240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106</xdr:row>
      <xdr:rowOff>196272</xdr:rowOff>
    </xdr:from>
    <xdr:to>
      <xdr:col>10</xdr:col>
      <xdr:colOff>2320636</xdr:colOff>
      <xdr:row>106</xdr:row>
      <xdr:rowOff>346363</xdr:rowOff>
    </xdr:to>
    <xdr:sp macro="" textlink="">
      <xdr:nvSpPr>
        <xdr:cNvPr id="176" name="Isosceles Triangle 175">
          <a:extLst>
            <a:ext uri="{FF2B5EF4-FFF2-40B4-BE49-F238E27FC236}">
              <a16:creationId xmlns:a16="http://schemas.microsoft.com/office/drawing/2014/main" id="{7E3008B9-422E-4638-86FF-5B052662AD9E}"/>
            </a:ext>
          </a:extLst>
        </xdr:cNvPr>
        <xdr:cNvSpPr/>
      </xdr:nvSpPr>
      <xdr:spPr>
        <a:xfrm rot="10800000">
          <a:off x="14250388" y="59817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107</xdr:row>
      <xdr:rowOff>196272</xdr:rowOff>
    </xdr:from>
    <xdr:to>
      <xdr:col>10</xdr:col>
      <xdr:colOff>2320636</xdr:colOff>
      <xdr:row>107</xdr:row>
      <xdr:rowOff>346363</xdr:rowOff>
    </xdr:to>
    <xdr:sp macro="" textlink="">
      <xdr:nvSpPr>
        <xdr:cNvPr id="177" name="Isosceles Triangle 176">
          <a:extLst>
            <a:ext uri="{FF2B5EF4-FFF2-40B4-BE49-F238E27FC236}">
              <a16:creationId xmlns:a16="http://schemas.microsoft.com/office/drawing/2014/main" id="{9276C7D7-E319-4DBB-9203-04CAF99F9112}"/>
            </a:ext>
          </a:extLst>
        </xdr:cNvPr>
        <xdr:cNvSpPr/>
      </xdr:nvSpPr>
      <xdr:spPr>
        <a:xfrm rot="10800000">
          <a:off x="14250388" y="6039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108</xdr:row>
      <xdr:rowOff>196272</xdr:rowOff>
    </xdr:from>
    <xdr:to>
      <xdr:col>10</xdr:col>
      <xdr:colOff>2320636</xdr:colOff>
      <xdr:row>108</xdr:row>
      <xdr:rowOff>346363</xdr:rowOff>
    </xdr:to>
    <xdr:sp macro="" textlink="">
      <xdr:nvSpPr>
        <xdr:cNvPr id="178" name="Isosceles Triangle 177">
          <a:extLst>
            <a:ext uri="{FF2B5EF4-FFF2-40B4-BE49-F238E27FC236}">
              <a16:creationId xmlns:a16="http://schemas.microsoft.com/office/drawing/2014/main" id="{BBC9F300-F71B-4D50-B80B-99A259C32D34}"/>
            </a:ext>
          </a:extLst>
        </xdr:cNvPr>
        <xdr:cNvSpPr/>
      </xdr:nvSpPr>
      <xdr:spPr>
        <a:xfrm rot="10800000">
          <a:off x="14250388" y="609712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98</xdr:row>
      <xdr:rowOff>196272</xdr:rowOff>
    </xdr:from>
    <xdr:to>
      <xdr:col>8</xdr:col>
      <xdr:colOff>2320636</xdr:colOff>
      <xdr:row>98</xdr:row>
      <xdr:rowOff>346363</xdr:rowOff>
    </xdr:to>
    <xdr:sp macro="" textlink="">
      <xdr:nvSpPr>
        <xdr:cNvPr id="179" name="Isosceles Triangle 178">
          <a:extLst>
            <a:ext uri="{FF2B5EF4-FFF2-40B4-BE49-F238E27FC236}">
              <a16:creationId xmlns:a16="http://schemas.microsoft.com/office/drawing/2014/main" id="{688B0872-23EC-4262-A237-B9A76C6F5F15}"/>
            </a:ext>
          </a:extLst>
        </xdr:cNvPr>
        <xdr:cNvSpPr/>
      </xdr:nvSpPr>
      <xdr:spPr>
        <a:xfrm rot="10800000">
          <a:off x="10788731" y="55201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99</xdr:row>
      <xdr:rowOff>196272</xdr:rowOff>
    </xdr:from>
    <xdr:to>
      <xdr:col>8</xdr:col>
      <xdr:colOff>2320636</xdr:colOff>
      <xdr:row>99</xdr:row>
      <xdr:rowOff>346363</xdr:rowOff>
    </xdr:to>
    <xdr:sp macro="" textlink="">
      <xdr:nvSpPr>
        <xdr:cNvPr id="180" name="Isosceles Triangle 179">
          <a:extLst>
            <a:ext uri="{FF2B5EF4-FFF2-40B4-BE49-F238E27FC236}">
              <a16:creationId xmlns:a16="http://schemas.microsoft.com/office/drawing/2014/main" id="{C42375AB-5B97-4D2E-AA91-792F1E396BE5}"/>
            </a:ext>
          </a:extLst>
        </xdr:cNvPr>
        <xdr:cNvSpPr/>
      </xdr:nvSpPr>
      <xdr:spPr>
        <a:xfrm rot="10800000">
          <a:off x="10788731" y="55778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100</xdr:row>
      <xdr:rowOff>196272</xdr:rowOff>
    </xdr:from>
    <xdr:to>
      <xdr:col>8</xdr:col>
      <xdr:colOff>2320636</xdr:colOff>
      <xdr:row>100</xdr:row>
      <xdr:rowOff>346363</xdr:rowOff>
    </xdr:to>
    <xdr:sp macro="" textlink="">
      <xdr:nvSpPr>
        <xdr:cNvPr id="181" name="Isosceles Triangle 180">
          <a:extLst>
            <a:ext uri="{FF2B5EF4-FFF2-40B4-BE49-F238E27FC236}">
              <a16:creationId xmlns:a16="http://schemas.microsoft.com/office/drawing/2014/main" id="{D0E2365A-7525-4724-AC38-A13033297ECA}"/>
            </a:ext>
          </a:extLst>
        </xdr:cNvPr>
        <xdr:cNvSpPr/>
      </xdr:nvSpPr>
      <xdr:spPr>
        <a:xfrm rot="10800000">
          <a:off x="10788731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101</xdr:row>
      <xdr:rowOff>196272</xdr:rowOff>
    </xdr:from>
    <xdr:to>
      <xdr:col>8</xdr:col>
      <xdr:colOff>2320636</xdr:colOff>
      <xdr:row>101</xdr:row>
      <xdr:rowOff>346363</xdr:rowOff>
    </xdr:to>
    <xdr:sp macro="" textlink="">
      <xdr:nvSpPr>
        <xdr:cNvPr id="182" name="Isosceles Triangle 181">
          <a:extLst>
            <a:ext uri="{FF2B5EF4-FFF2-40B4-BE49-F238E27FC236}">
              <a16:creationId xmlns:a16="http://schemas.microsoft.com/office/drawing/2014/main" id="{60539B4F-10F9-4264-87E9-2D2746C198FB}"/>
            </a:ext>
          </a:extLst>
        </xdr:cNvPr>
        <xdr:cNvSpPr/>
      </xdr:nvSpPr>
      <xdr:spPr>
        <a:xfrm rot="10800000">
          <a:off x="10788731" y="56932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102</xdr:row>
      <xdr:rowOff>196272</xdr:rowOff>
    </xdr:from>
    <xdr:to>
      <xdr:col>8</xdr:col>
      <xdr:colOff>2320636</xdr:colOff>
      <xdr:row>102</xdr:row>
      <xdr:rowOff>346363</xdr:rowOff>
    </xdr:to>
    <xdr:sp macro="" textlink="">
      <xdr:nvSpPr>
        <xdr:cNvPr id="183" name="Isosceles Triangle 182">
          <a:extLst>
            <a:ext uri="{FF2B5EF4-FFF2-40B4-BE49-F238E27FC236}">
              <a16:creationId xmlns:a16="http://schemas.microsoft.com/office/drawing/2014/main" id="{6E079CAE-368F-4BA1-843D-05984AF2A6DB}"/>
            </a:ext>
          </a:extLst>
        </xdr:cNvPr>
        <xdr:cNvSpPr/>
      </xdr:nvSpPr>
      <xdr:spPr>
        <a:xfrm rot="10800000">
          <a:off x="10788731" y="57509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184" name="Isosceles Triangle 183">
          <a:extLst>
            <a:ext uri="{FF2B5EF4-FFF2-40B4-BE49-F238E27FC236}">
              <a16:creationId xmlns:a16="http://schemas.microsoft.com/office/drawing/2014/main" id="{A75CA370-CB13-4AE7-95E5-EE8352AD5D04}"/>
            </a:ext>
          </a:extLst>
        </xdr:cNvPr>
        <xdr:cNvSpPr/>
      </xdr:nvSpPr>
      <xdr:spPr>
        <a:xfrm rot="10800000">
          <a:off x="14250388" y="55201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99</xdr:row>
      <xdr:rowOff>196272</xdr:rowOff>
    </xdr:from>
    <xdr:to>
      <xdr:col>10</xdr:col>
      <xdr:colOff>2320636</xdr:colOff>
      <xdr:row>99</xdr:row>
      <xdr:rowOff>346363</xdr:rowOff>
    </xdr:to>
    <xdr:sp macro="" textlink="">
      <xdr:nvSpPr>
        <xdr:cNvPr id="185" name="Isosceles Triangle 184">
          <a:extLst>
            <a:ext uri="{FF2B5EF4-FFF2-40B4-BE49-F238E27FC236}">
              <a16:creationId xmlns:a16="http://schemas.microsoft.com/office/drawing/2014/main" id="{69426A59-134C-4460-85C4-D4FDF51F878F}"/>
            </a:ext>
          </a:extLst>
        </xdr:cNvPr>
        <xdr:cNvSpPr/>
      </xdr:nvSpPr>
      <xdr:spPr>
        <a:xfrm rot="10800000">
          <a:off x="14250388" y="55778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86" name="Isosceles Triangle 185">
          <a:extLst>
            <a:ext uri="{FF2B5EF4-FFF2-40B4-BE49-F238E27FC236}">
              <a16:creationId xmlns:a16="http://schemas.microsoft.com/office/drawing/2014/main" id="{037EC689-9CF6-4B98-B0DD-FB365744C35A}"/>
            </a:ext>
          </a:extLst>
        </xdr:cNvPr>
        <xdr:cNvSpPr/>
      </xdr:nvSpPr>
      <xdr:spPr>
        <a:xfrm rot="10800000">
          <a:off x="14250388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101</xdr:row>
      <xdr:rowOff>196272</xdr:rowOff>
    </xdr:from>
    <xdr:to>
      <xdr:col>10</xdr:col>
      <xdr:colOff>2320636</xdr:colOff>
      <xdr:row>101</xdr:row>
      <xdr:rowOff>346363</xdr:rowOff>
    </xdr:to>
    <xdr:sp macro="" textlink="">
      <xdr:nvSpPr>
        <xdr:cNvPr id="187" name="Isosceles Triangle 186">
          <a:extLst>
            <a:ext uri="{FF2B5EF4-FFF2-40B4-BE49-F238E27FC236}">
              <a16:creationId xmlns:a16="http://schemas.microsoft.com/office/drawing/2014/main" id="{A08F7283-5E87-4C74-A686-9D750A96F445}"/>
            </a:ext>
          </a:extLst>
        </xdr:cNvPr>
        <xdr:cNvSpPr/>
      </xdr:nvSpPr>
      <xdr:spPr>
        <a:xfrm rot="10800000">
          <a:off x="14250388" y="56932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102</xdr:row>
      <xdr:rowOff>196272</xdr:rowOff>
    </xdr:from>
    <xdr:to>
      <xdr:col>10</xdr:col>
      <xdr:colOff>2320636</xdr:colOff>
      <xdr:row>102</xdr:row>
      <xdr:rowOff>346363</xdr:rowOff>
    </xdr:to>
    <xdr:sp macro="" textlink="">
      <xdr:nvSpPr>
        <xdr:cNvPr id="188" name="Isosceles Triangle 187">
          <a:extLst>
            <a:ext uri="{FF2B5EF4-FFF2-40B4-BE49-F238E27FC236}">
              <a16:creationId xmlns:a16="http://schemas.microsoft.com/office/drawing/2014/main" id="{E596181B-412D-4C50-B047-294FB76AD558}"/>
            </a:ext>
          </a:extLst>
        </xdr:cNvPr>
        <xdr:cNvSpPr/>
      </xdr:nvSpPr>
      <xdr:spPr>
        <a:xfrm rot="10800000">
          <a:off x="14250388" y="57509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92</xdr:row>
      <xdr:rowOff>196272</xdr:rowOff>
    </xdr:from>
    <xdr:to>
      <xdr:col>8</xdr:col>
      <xdr:colOff>2320636</xdr:colOff>
      <xdr:row>92</xdr:row>
      <xdr:rowOff>346363</xdr:rowOff>
    </xdr:to>
    <xdr:sp macro="" textlink="">
      <xdr:nvSpPr>
        <xdr:cNvPr id="189" name="Isosceles Triangle 188">
          <a:extLst>
            <a:ext uri="{FF2B5EF4-FFF2-40B4-BE49-F238E27FC236}">
              <a16:creationId xmlns:a16="http://schemas.microsoft.com/office/drawing/2014/main" id="{293B04FA-23B1-408C-9F39-A54127FB8710}"/>
            </a:ext>
          </a:extLst>
        </xdr:cNvPr>
        <xdr:cNvSpPr/>
      </xdr:nvSpPr>
      <xdr:spPr>
        <a:xfrm rot="10800000">
          <a:off x="10788731" y="51740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93</xdr:row>
      <xdr:rowOff>196272</xdr:rowOff>
    </xdr:from>
    <xdr:to>
      <xdr:col>8</xdr:col>
      <xdr:colOff>2320636</xdr:colOff>
      <xdr:row>93</xdr:row>
      <xdr:rowOff>346363</xdr:rowOff>
    </xdr:to>
    <xdr:sp macro="" textlink="">
      <xdr:nvSpPr>
        <xdr:cNvPr id="190" name="Isosceles Triangle 189">
          <a:extLst>
            <a:ext uri="{FF2B5EF4-FFF2-40B4-BE49-F238E27FC236}">
              <a16:creationId xmlns:a16="http://schemas.microsoft.com/office/drawing/2014/main" id="{CFA95A0C-7C31-4AD1-ACC7-F800773EB890}"/>
            </a:ext>
          </a:extLst>
        </xdr:cNvPr>
        <xdr:cNvSpPr/>
      </xdr:nvSpPr>
      <xdr:spPr>
        <a:xfrm rot="10800000">
          <a:off x="10788731" y="523170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94</xdr:row>
      <xdr:rowOff>196272</xdr:rowOff>
    </xdr:from>
    <xdr:to>
      <xdr:col>8</xdr:col>
      <xdr:colOff>2320636</xdr:colOff>
      <xdr:row>94</xdr:row>
      <xdr:rowOff>346363</xdr:rowOff>
    </xdr:to>
    <xdr:sp macro="" textlink="">
      <xdr:nvSpPr>
        <xdr:cNvPr id="191" name="Isosceles Triangle 190">
          <a:extLst>
            <a:ext uri="{FF2B5EF4-FFF2-40B4-BE49-F238E27FC236}">
              <a16:creationId xmlns:a16="http://schemas.microsoft.com/office/drawing/2014/main" id="{420C6E68-A343-46F9-9808-04B6F33B935C}"/>
            </a:ext>
          </a:extLst>
        </xdr:cNvPr>
        <xdr:cNvSpPr/>
      </xdr:nvSpPr>
      <xdr:spPr>
        <a:xfrm rot="10800000">
          <a:off x="10788731" y="52894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95</xdr:row>
      <xdr:rowOff>196272</xdr:rowOff>
    </xdr:from>
    <xdr:to>
      <xdr:col>8</xdr:col>
      <xdr:colOff>2320636</xdr:colOff>
      <xdr:row>95</xdr:row>
      <xdr:rowOff>346363</xdr:rowOff>
    </xdr:to>
    <xdr:sp macro="" textlink="">
      <xdr:nvSpPr>
        <xdr:cNvPr id="192" name="Isosceles Triangle 191">
          <a:extLst>
            <a:ext uri="{FF2B5EF4-FFF2-40B4-BE49-F238E27FC236}">
              <a16:creationId xmlns:a16="http://schemas.microsoft.com/office/drawing/2014/main" id="{07F03E72-B1D0-4207-A633-3F3E6340F3E4}"/>
            </a:ext>
          </a:extLst>
        </xdr:cNvPr>
        <xdr:cNvSpPr/>
      </xdr:nvSpPr>
      <xdr:spPr>
        <a:xfrm rot="10800000">
          <a:off x="10788731" y="53470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96</xdr:row>
      <xdr:rowOff>196272</xdr:rowOff>
    </xdr:from>
    <xdr:to>
      <xdr:col>8</xdr:col>
      <xdr:colOff>2320636</xdr:colOff>
      <xdr:row>96</xdr:row>
      <xdr:rowOff>346363</xdr:rowOff>
    </xdr:to>
    <xdr:sp macro="" textlink="">
      <xdr:nvSpPr>
        <xdr:cNvPr id="193" name="Isosceles Triangle 192">
          <a:extLst>
            <a:ext uri="{FF2B5EF4-FFF2-40B4-BE49-F238E27FC236}">
              <a16:creationId xmlns:a16="http://schemas.microsoft.com/office/drawing/2014/main" id="{5C661830-6264-41D8-B8CE-D94386895416}"/>
            </a:ext>
          </a:extLst>
        </xdr:cNvPr>
        <xdr:cNvSpPr/>
      </xdr:nvSpPr>
      <xdr:spPr>
        <a:xfrm rot="10800000">
          <a:off x="10788731" y="540479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92</xdr:row>
      <xdr:rowOff>196272</xdr:rowOff>
    </xdr:from>
    <xdr:to>
      <xdr:col>10</xdr:col>
      <xdr:colOff>2320636</xdr:colOff>
      <xdr:row>92</xdr:row>
      <xdr:rowOff>346363</xdr:rowOff>
    </xdr:to>
    <xdr:sp macro="" textlink="">
      <xdr:nvSpPr>
        <xdr:cNvPr id="194" name="Isosceles Triangle 193">
          <a:extLst>
            <a:ext uri="{FF2B5EF4-FFF2-40B4-BE49-F238E27FC236}">
              <a16:creationId xmlns:a16="http://schemas.microsoft.com/office/drawing/2014/main" id="{CF911D17-2BC0-4B70-A6EB-65F0D544F98A}"/>
            </a:ext>
          </a:extLst>
        </xdr:cNvPr>
        <xdr:cNvSpPr/>
      </xdr:nvSpPr>
      <xdr:spPr>
        <a:xfrm rot="10800000">
          <a:off x="14250388" y="51740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93</xdr:row>
      <xdr:rowOff>196272</xdr:rowOff>
    </xdr:from>
    <xdr:to>
      <xdr:col>10</xdr:col>
      <xdr:colOff>2320636</xdr:colOff>
      <xdr:row>93</xdr:row>
      <xdr:rowOff>346363</xdr:rowOff>
    </xdr:to>
    <xdr:sp macro="" textlink="">
      <xdr:nvSpPr>
        <xdr:cNvPr id="195" name="Isosceles Triangle 194">
          <a:extLst>
            <a:ext uri="{FF2B5EF4-FFF2-40B4-BE49-F238E27FC236}">
              <a16:creationId xmlns:a16="http://schemas.microsoft.com/office/drawing/2014/main" id="{F7BB7116-1B0C-43DD-A77D-A65544B30697}"/>
            </a:ext>
          </a:extLst>
        </xdr:cNvPr>
        <xdr:cNvSpPr/>
      </xdr:nvSpPr>
      <xdr:spPr>
        <a:xfrm rot="10800000">
          <a:off x="14250388" y="523170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94</xdr:row>
      <xdr:rowOff>196272</xdr:rowOff>
    </xdr:from>
    <xdr:to>
      <xdr:col>10</xdr:col>
      <xdr:colOff>2320636</xdr:colOff>
      <xdr:row>94</xdr:row>
      <xdr:rowOff>346363</xdr:rowOff>
    </xdr:to>
    <xdr:sp macro="" textlink="">
      <xdr:nvSpPr>
        <xdr:cNvPr id="196" name="Isosceles Triangle 195">
          <a:extLst>
            <a:ext uri="{FF2B5EF4-FFF2-40B4-BE49-F238E27FC236}">
              <a16:creationId xmlns:a16="http://schemas.microsoft.com/office/drawing/2014/main" id="{767C39E8-ED6D-41B0-A23F-C7D6E850F52C}"/>
            </a:ext>
          </a:extLst>
        </xdr:cNvPr>
        <xdr:cNvSpPr/>
      </xdr:nvSpPr>
      <xdr:spPr>
        <a:xfrm rot="10800000">
          <a:off x="14250388" y="52894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95</xdr:row>
      <xdr:rowOff>196272</xdr:rowOff>
    </xdr:from>
    <xdr:to>
      <xdr:col>10</xdr:col>
      <xdr:colOff>2320636</xdr:colOff>
      <xdr:row>95</xdr:row>
      <xdr:rowOff>346363</xdr:rowOff>
    </xdr:to>
    <xdr:sp macro="" textlink="">
      <xdr:nvSpPr>
        <xdr:cNvPr id="197" name="Isosceles Triangle 196">
          <a:extLst>
            <a:ext uri="{FF2B5EF4-FFF2-40B4-BE49-F238E27FC236}">
              <a16:creationId xmlns:a16="http://schemas.microsoft.com/office/drawing/2014/main" id="{99492520-29A5-4754-B820-B2F6406F8558}"/>
            </a:ext>
          </a:extLst>
        </xdr:cNvPr>
        <xdr:cNvSpPr/>
      </xdr:nvSpPr>
      <xdr:spPr>
        <a:xfrm rot="10800000">
          <a:off x="14250388" y="53470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96</xdr:row>
      <xdr:rowOff>196272</xdr:rowOff>
    </xdr:from>
    <xdr:to>
      <xdr:col>10</xdr:col>
      <xdr:colOff>2320636</xdr:colOff>
      <xdr:row>96</xdr:row>
      <xdr:rowOff>346363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C2CD1D74-E482-4599-88A7-C53F1F8CA777}"/>
            </a:ext>
          </a:extLst>
        </xdr:cNvPr>
        <xdr:cNvSpPr/>
      </xdr:nvSpPr>
      <xdr:spPr>
        <a:xfrm rot="10800000">
          <a:off x="14250388" y="540479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86</xdr:row>
      <xdr:rowOff>196272</xdr:rowOff>
    </xdr:from>
    <xdr:to>
      <xdr:col>8</xdr:col>
      <xdr:colOff>2320636</xdr:colOff>
      <xdr:row>86</xdr:row>
      <xdr:rowOff>346363</xdr:rowOff>
    </xdr:to>
    <xdr:sp macro="" textlink="">
      <xdr:nvSpPr>
        <xdr:cNvPr id="199" name="Isosceles Triangle 198">
          <a:extLst>
            <a:ext uri="{FF2B5EF4-FFF2-40B4-BE49-F238E27FC236}">
              <a16:creationId xmlns:a16="http://schemas.microsoft.com/office/drawing/2014/main" id="{8A5DC694-8EB8-4735-8879-AB6B8F287B85}"/>
            </a:ext>
          </a:extLst>
        </xdr:cNvPr>
        <xdr:cNvSpPr/>
      </xdr:nvSpPr>
      <xdr:spPr>
        <a:xfrm rot="10800000">
          <a:off x="10788731" y="48278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87</xdr:row>
      <xdr:rowOff>196272</xdr:rowOff>
    </xdr:from>
    <xdr:to>
      <xdr:col>8</xdr:col>
      <xdr:colOff>2320636</xdr:colOff>
      <xdr:row>87</xdr:row>
      <xdr:rowOff>346363</xdr:rowOff>
    </xdr:to>
    <xdr:sp macro="" textlink="">
      <xdr:nvSpPr>
        <xdr:cNvPr id="200" name="Isosceles Triangle 199">
          <a:extLst>
            <a:ext uri="{FF2B5EF4-FFF2-40B4-BE49-F238E27FC236}">
              <a16:creationId xmlns:a16="http://schemas.microsoft.com/office/drawing/2014/main" id="{8CEF0663-7357-49B7-8683-FF40CF44704B}"/>
            </a:ext>
          </a:extLst>
        </xdr:cNvPr>
        <xdr:cNvSpPr/>
      </xdr:nvSpPr>
      <xdr:spPr>
        <a:xfrm rot="10800000">
          <a:off x="10788731" y="48855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88</xdr:row>
      <xdr:rowOff>196272</xdr:rowOff>
    </xdr:from>
    <xdr:to>
      <xdr:col>8</xdr:col>
      <xdr:colOff>2320636</xdr:colOff>
      <xdr:row>88</xdr:row>
      <xdr:rowOff>346363</xdr:rowOff>
    </xdr:to>
    <xdr:sp macro="" textlink="">
      <xdr:nvSpPr>
        <xdr:cNvPr id="201" name="Isosceles Triangle 200">
          <a:extLst>
            <a:ext uri="{FF2B5EF4-FFF2-40B4-BE49-F238E27FC236}">
              <a16:creationId xmlns:a16="http://schemas.microsoft.com/office/drawing/2014/main" id="{DCAD3473-7119-414A-ADC5-291A1C0E9E9E}"/>
            </a:ext>
          </a:extLst>
        </xdr:cNvPr>
        <xdr:cNvSpPr/>
      </xdr:nvSpPr>
      <xdr:spPr>
        <a:xfrm rot="10800000">
          <a:off x="10788731" y="49432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89</xdr:row>
      <xdr:rowOff>196272</xdr:rowOff>
    </xdr:from>
    <xdr:to>
      <xdr:col>8</xdr:col>
      <xdr:colOff>2320636</xdr:colOff>
      <xdr:row>89</xdr:row>
      <xdr:rowOff>346363</xdr:rowOff>
    </xdr:to>
    <xdr:sp macro="" textlink="">
      <xdr:nvSpPr>
        <xdr:cNvPr id="202" name="Isosceles Triangle 201">
          <a:extLst>
            <a:ext uri="{FF2B5EF4-FFF2-40B4-BE49-F238E27FC236}">
              <a16:creationId xmlns:a16="http://schemas.microsoft.com/office/drawing/2014/main" id="{C08CDE32-BC6D-466C-B97A-02A93CED1CE4}"/>
            </a:ext>
          </a:extLst>
        </xdr:cNvPr>
        <xdr:cNvSpPr/>
      </xdr:nvSpPr>
      <xdr:spPr>
        <a:xfrm rot="10800000">
          <a:off x="10788731" y="50009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90</xdr:row>
      <xdr:rowOff>196272</xdr:rowOff>
    </xdr:from>
    <xdr:to>
      <xdr:col>8</xdr:col>
      <xdr:colOff>2320636</xdr:colOff>
      <xdr:row>90</xdr:row>
      <xdr:rowOff>346363</xdr:rowOff>
    </xdr:to>
    <xdr:sp macro="" textlink="">
      <xdr:nvSpPr>
        <xdr:cNvPr id="203" name="Isosceles Triangle 202">
          <a:extLst>
            <a:ext uri="{FF2B5EF4-FFF2-40B4-BE49-F238E27FC236}">
              <a16:creationId xmlns:a16="http://schemas.microsoft.com/office/drawing/2014/main" id="{4763A885-9AC9-499E-AC4F-A4697EC65158}"/>
            </a:ext>
          </a:extLst>
        </xdr:cNvPr>
        <xdr:cNvSpPr/>
      </xdr:nvSpPr>
      <xdr:spPr>
        <a:xfrm rot="10800000">
          <a:off x="10788731" y="505862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86</xdr:row>
      <xdr:rowOff>196272</xdr:rowOff>
    </xdr:from>
    <xdr:to>
      <xdr:col>10</xdr:col>
      <xdr:colOff>2320636</xdr:colOff>
      <xdr:row>86</xdr:row>
      <xdr:rowOff>346363</xdr:rowOff>
    </xdr:to>
    <xdr:sp macro="" textlink="">
      <xdr:nvSpPr>
        <xdr:cNvPr id="204" name="Isosceles Triangle 203">
          <a:extLst>
            <a:ext uri="{FF2B5EF4-FFF2-40B4-BE49-F238E27FC236}">
              <a16:creationId xmlns:a16="http://schemas.microsoft.com/office/drawing/2014/main" id="{62A9BF6F-3099-4720-B78A-BDB431ED7338}"/>
            </a:ext>
          </a:extLst>
        </xdr:cNvPr>
        <xdr:cNvSpPr/>
      </xdr:nvSpPr>
      <xdr:spPr>
        <a:xfrm rot="10800000">
          <a:off x="14250388" y="48278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87</xdr:row>
      <xdr:rowOff>196272</xdr:rowOff>
    </xdr:from>
    <xdr:to>
      <xdr:col>10</xdr:col>
      <xdr:colOff>2320636</xdr:colOff>
      <xdr:row>87</xdr:row>
      <xdr:rowOff>346363</xdr:rowOff>
    </xdr:to>
    <xdr:sp macro="" textlink="">
      <xdr:nvSpPr>
        <xdr:cNvPr id="205" name="Isosceles Triangle 204">
          <a:extLst>
            <a:ext uri="{FF2B5EF4-FFF2-40B4-BE49-F238E27FC236}">
              <a16:creationId xmlns:a16="http://schemas.microsoft.com/office/drawing/2014/main" id="{3C043AB8-15C8-4529-BF30-74E64CEBDA4B}"/>
            </a:ext>
          </a:extLst>
        </xdr:cNvPr>
        <xdr:cNvSpPr/>
      </xdr:nvSpPr>
      <xdr:spPr>
        <a:xfrm rot="10800000">
          <a:off x="14250388" y="48855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88</xdr:row>
      <xdr:rowOff>196272</xdr:rowOff>
    </xdr:from>
    <xdr:to>
      <xdr:col>10</xdr:col>
      <xdr:colOff>2320636</xdr:colOff>
      <xdr:row>88</xdr:row>
      <xdr:rowOff>346363</xdr:rowOff>
    </xdr:to>
    <xdr:sp macro="" textlink="">
      <xdr:nvSpPr>
        <xdr:cNvPr id="206" name="Isosceles Triangle 205">
          <a:extLst>
            <a:ext uri="{FF2B5EF4-FFF2-40B4-BE49-F238E27FC236}">
              <a16:creationId xmlns:a16="http://schemas.microsoft.com/office/drawing/2014/main" id="{1DB37391-C73D-48C5-93FB-2DE2BC4C7848}"/>
            </a:ext>
          </a:extLst>
        </xdr:cNvPr>
        <xdr:cNvSpPr/>
      </xdr:nvSpPr>
      <xdr:spPr>
        <a:xfrm rot="10800000">
          <a:off x="14250388" y="49432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207" name="Isosceles Triangle 206">
          <a:extLst>
            <a:ext uri="{FF2B5EF4-FFF2-40B4-BE49-F238E27FC236}">
              <a16:creationId xmlns:a16="http://schemas.microsoft.com/office/drawing/2014/main" id="{80941B93-BA82-47CF-A6CF-D8EE04716D0A}"/>
            </a:ext>
          </a:extLst>
        </xdr:cNvPr>
        <xdr:cNvSpPr/>
      </xdr:nvSpPr>
      <xdr:spPr>
        <a:xfrm rot="10800000">
          <a:off x="14250388" y="50009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90</xdr:row>
      <xdr:rowOff>196272</xdr:rowOff>
    </xdr:from>
    <xdr:to>
      <xdr:col>10</xdr:col>
      <xdr:colOff>2320636</xdr:colOff>
      <xdr:row>90</xdr:row>
      <xdr:rowOff>346363</xdr:rowOff>
    </xdr:to>
    <xdr:sp macro="" textlink="">
      <xdr:nvSpPr>
        <xdr:cNvPr id="208" name="Isosceles Triangle 207">
          <a:extLst>
            <a:ext uri="{FF2B5EF4-FFF2-40B4-BE49-F238E27FC236}">
              <a16:creationId xmlns:a16="http://schemas.microsoft.com/office/drawing/2014/main" id="{1841B510-1207-44E5-81F0-BA5C8EB3D325}"/>
            </a:ext>
          </a:extLst>
        </xdr:cNvPr>
        <xdr:cNvSpPr/>
      </xdr:nvSpPr>
      <xdr:spPr>
        <a:xfrm rot="10800000">
          <a:off x="14250388" y="505862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80</xdr:row>
      <xdr:rowOff>196272</xdr:rowOff>
    </xdr:from>
    <xdr:to>
      <xdr:col>8</xdr:col>
      <xdr:colOff>2320636</xdr:colOff>
      <xdr:row>80</xdr:row>
      <xdr:rowOff>346363</xdr:rowOff>
    </xdr:to>
    <xdr:sp macro="" textlink="">
      <xdr:nvSpPr>
        <xdr:cNvPr id="209" name="Isosceles Triangle 208">
          <a:extLst>
            <a:ext uri="{FF2B5EF4-FFF2-40B4-BE49-F238E27FC236}">
              <a16:creationId xmlns:a16="http://schemas.microsoft.com/office/drawing/2014/main" id="{9DE7770F-79A1-4ACA-A5D2-A705F516DEE3}"/>
            </a:ext>
          </a:extLst>
        </xdr:cNvPr>
        <xdr:cNvSpPr/>
      </xdr:nvSpPr>
      <xdr:spPr>
        <a:xfrm rot="10800000">
          <a:off x="10788731" y="44816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81</xdr:row>
      <xdr:rowOff>196272</xdr:rowOff>
    </xdr:from>
    <xdr:to>
      <xdr:col>8</xdr:col>
      <xdr:colOff>2320636</xdr:colOff>
      <xdr:row>81</xdr:row>
      <xdr:rowOff>346363</xdr:rowOff>
    </xdr:to>
    <xdr:sp macro="" textlink="">
      <xdr:nvSpPr>
        <xdr:cNvPr id="210" name="Isosceles Triangle 209">
          <a:extLst>
            <a:ext uri="{FF2B5EF4-FFF2-40B4-BE49-F238E27FC236}">
              <a16:creationId xmlns:a16="http://schemas.microsoft.com/office/drawing/2014/main" id="{45DBF927-0480-4E7B-91F3-3EB1671A98B9}"/>
            </a:ext>
          </a:extLst>
        </xdr:cNvPr>
        <xdr:cNvSpPr/>
      </xdr:nvSpPr>
      <xdr:spPr>
        <a:xfrm rot="10800000">
          <a:off x="10788731" y="45393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82</xdr:row>
      <xdr:rowOff>196272</xdr:rowOff>
    </xdr:from>
    <xdr:to>
      <xdr:col>8</xdr:col>
      <xdr:colOff>2320636</xdr:colOff>
      <xdr:row>82</xdr:row>
      <xdr:rowOff>346363</xdr:rowOff>
    </xdr:to>
    <xdr:sp macro="" textlink="">
      <xdr:nvSpPr>
        <xdr:cNvPr id="211" name="Isosceles Triangle 210">
          <a:extLst>
            <a:ext uri="{FF2B5EF4-FFF2-40B4-BE49-F238E27FC236}">
              <a16:creationId xmlns:a16="http://schemas.microsoft.com/office/drawing/2014/main" id="{FF760B99-B928-4075-9953-003913AC7044}"/>
            </a:ext>
          </a:extLst>
        </xdr:cNvPr>
        <xdr:cNvSpPr/>
      </xdr:nvSpPr>
      <xdr:spPr>
        <a:xfrm rot="10800000">
          <a:off x="10788731" y="45970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83</xdr:row>
      <xdr:rowOff>196272</xdr:rowOff>
    </xdr:from>
    <xdr:to>
      <xdr:col>8</xdr:col>
      <xdr:colOff>2320636</xdr:colOff>
      <xdr:row>83</xdr:row>
      <xdr:rowOff>346363</xdr:rowOff>
    </xdr:to>
    <xdr:sp macro="" textlink="">
      <xdr:nvSpPr>
        <xdr:cNvPr id="212" name="Isosceles Triangle 211">
          <a:extLst>
            <a:ext uri="{FF2B5EF4-FFF2-40B4-BE49-F238E27FC236}">
              <a16:creationId xmlns:a16="http://schemas.microsoft.com/office/drawing/2014/main" id="{399A5391-F6ED-4234-B4C1-D2044BA96A75}"/>
            </a:ext>
          </a:extLst>
        </xdr:cNvPr>
        <xdr:cNvSpPr/>
      </xdr:nvSpPr>
      <xdr:spPr>
        <a:xfrm rot="10800000">
          <a:off x="10788731" y="46547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84</xdr:row>
      <xdr:rowOff>196272</xdr:rowOff>
    </xdr:from>
    <xdr:to>
      <xdr:col>8</xdr:col>
      <xdr:colOff>2320636</xdr:colOff>
      <xdr:row>84</xdr:row>
      <xdr:rowOff>346363</xdr:rowOff>
    </xdr:to>
    <xdr:sp macro="" textlink="">
      <xdr:nvSpPr>
        <xdr:cNvPr id="213" name="Isosceles Triangle 212">
          <a:extLst>
            <a:ext uri="{FF2B5EF4-FFF2-40B4-BE49-F238E27FC236}">
              <a16:creationId xmlns:a16="http://schemas.microsoft.com/office/drawing/2014/main" id="{8A748DE5-8B17-480B-AA9B-DB148A6C7179}"/>
            </a:ext>
          </a:extLst>
        </xdr:cNvPr>
        <xdr:cNvSpPr/>
      </xdr:nvSpPr>
      <xdr:spPr>
        <a:xfrm rot="10800000">
          <a:off x="10788731" y="47124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80</xdr:row>
      <xdr:rowOff>196272</xdr:rowOff>
    </xdr:from>
    <xdr:to>
      <xdr:col>10</xdr:col>
      <xdr:colOff>2320636</xdr:colOff>
      <xdr:row>80</xdr:row>
      <xdr:rowOff>346363</xdr:rowOff>
    </xdr:to>
    <xdr:sp macro="" textlink="">
      <xdr:nvSpPr>
        <xdr:cNvPr id="214" name="Isosceles Triangle 213">
          <a:extLst>
            <a:ext uri="{FF2B5EF4-FFF2-40B4-BE49-F238E27FC236}">
              <a16:creationId xmlns:a16="http://schemas.microsoft.com/office/drawing/2014/main" id="{89DA468A-3867-41EB-B66D-A0CF7320F54A}"/>
            </a:ext>
          </a:extLst>
        </xdr:cNvPr>
        <xdr:cNvSpPr/>
      </xdr:nvSpPr>
      <xdr:spPr>
        <a:xfrm rot="10800000">
          <a:off x="14250388" y="44816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81</xdr:row>
      <xdr:rowOff>196272</xdr:rowOff>
    </xdr:from>
    <xdr:to>
      <xdr:col>10</xdr:col>
      <xdr:colOff>2320636</xdr:colOff>
      <xdr:row>81</xdr:row>
      <xdr:rowOff>346363</xdr:rowOff>
    </xdr:to>
    <xdr:sp macro="" textlink="">
      <xdr:nvSpPr>
        <xdr:cNvPr id="215" name="Isosceles Triangle 214">
          <a:extLst>
            <a:ext uri="{FF2B5EF4-FFF2-40B4-BE49-F238E27FC236}">
              <a16:creationId xmlns:a16="http://schemas.microsoft.com/office/drawing/2014/main" id="{B5558708-9E76-486C-92B6-6F5D71E5EAE2}"/>
            </a:ext>
          </a:extLst>
        </xdr:cNvPr>
        <xdr:cNvSpPr/>
      </xdr:nvSpPr>
      <xdr:spPr>
        <a:xfrm rot="10800000">
          <a:off x="14250388" y="45393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82</xdr:row>
      <xdr:rowOff>196272</xdr:rowOff>
    </xdr:from>
    <xdr:to>
      <xdr:col>10</xdr:col>
      <xdr:colOff>2320636</xdr:colOff>
      <xdr:row>82</xdr:row>
      <xdr:rowOff>346363</xdr:rowOff>
    </xdr:to>
    <xdr:sp macro="" textlink="">
      <xdr:nvSpPr>
        <xdr:cNvPr id="216" name="Isosceles Triangle 215">
          <a:extLst>
            <a:ext uri="{FF2B5EF4-FFF2-40B4-BE49-F238E27FC236}">
              <a16:creationId xmlns:a16="http://schemas.microsoft.com/office/drawing/2014/main" id="{F21741B4-A83C-41F0-B988-7C0136F274E1}"/>
            </a:ext>
          </a:extLst>
        </xdr:cNvPr>
        <xdr:cNvSpPr/>
      </xdr:nvSpPr>
      <xdr:spPr>
        <a:xfrm rot="10800000">
          <a:off x="14250388" y="45970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83</xdr:row>
      <xdr:rowOff>196272</xdr:rowOff>
    </xdr:from>
    <xdr:to>
      <xdr:col>10</xdr:col>
      <xdr:colOff>2320636</xdr:colOff>
      <xdr:row>83</xdr:row>
      <xdr:rowOff>346363</xdr:rowOff>
    </xdr:to>
    <xdr:sp macro="" textlink="">
      <xdr:nvSpPr>
        <xdr:cNvPr id="217" name="Isosceles Triangle 216">
          <a:extLst>
            <a:ext uri="{FF2B5EF4-FFF2-40B4-BE49-F238E27FC236}">
              <a16:creationId xmlns:a16="http://schemas.microsoft.com/office/drawing/2014/main" id="{DF08850A-3C20-4F66-91CB-F1980FEA3715}"/>
            </a:ext>
          </a:extLst>
        </xdr:cNvPr>
        <xdr:cNvSpPr/>
      </xdr:nvSpPr>
      <xdr:spPr>
        <a:xfrm rot="10800000">
          <a:off x="14250388" y="46547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84</xdr:row>
      <xdr:rowOff>196272</xdr:rowOff>
    </xdr:from>
    <xdr:to>
      <xdr:col>10</xdr:col>
      <xdr:colOff>2320636</xdr:colOff>
      <xdr:row>84</xdr:row>
      <xdr:rowOff>346363</xdr:rowOff>
    </xdr:to>
    <xdr:sp macro="" textlink="">
      <xdr:nvSpPr>
        <xdr:cNvPr id="218" name="Isosceles Triangle 217">
          <a:extLst>
            <a:ext uri="{FF2B5EF4-FFF2-40B4-BE49-F238E27FC236}">
              <a16:creationId xmlns:a16="http://schemas.microsoft.com/office/drawing/2014/main" id="{27B74460-7132-496B-9E8D-2AFD883D6E05}"/>
            </a:ext>
          </a:extLst>
        </xdr:cNvPr>
        <xdr:cNvSpPr/>
      </xdr:nvSpPr>
      <xdr:spPr>
        <a:xfrm rot="10800000">
          <a:off x="14250388" y="47124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74</xdr:row>
      <xdr:rowOff>196272</xdr:rowOff>
    </xdr:from>
    <xdr:to>
      <xdr:col>8</xdr:col>
      <xdr:colOff>2320636</xdr:colOff>
      <xdr:row>74</xdr:row>
      <xdr:rowOff>346363</xdr:rowOff>
    </xdr:to>
    <xdr:sp macro="" textlink="">
      <xdr:nvSpPr>
        <xdr:cNvPr id="219" name="Isosceles Triangle 218">
          <a:extLst>
            <a:ext uri="{FF2B5EF4-FFF2-40B4-BE49-F238E27FC236}">
              <a16:creationId xmlns:a16="http://schemas.microsoft.com/office/drawing/2014/main" id="{4D05E26E-DCD8-4D53-8D8C-2DD5B75E460E}"/>
            </a:ext>
          </a:extLst>
        </xdr:cNvPr>
        <xdr:cNvSpPr/>
      </xdr:nvSpPr>
      <xdr:spPr>
        <a:xfrm rot="10800000">
          <a:off x="10788731" y="413551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75</xdr:row>
      <xdr:rowOff>196272</xdr:rowOff>
    </xdr:from>
    <xdr:to>
      <xdr:col>8</xdr:col>
      <xdr:colOff>2320636</xdr:colOff>
      <xdr:row>75</xdr:row>
      <xdr:rowOff>346363</xdr:rowOff>
    </xdr:to>
    <xdr:sp macro="" textlink="">
      <xdr:nvSpPr>
        <xdr:cNvPr id="220" name="Isosceles Triangle 219">
          <a:extLst>
            <a:ext uri="{FF2B5EF4-FFF2-40B4-BE49-F238E27FC236}">
              <a16:creationId xmlns:a16="http://schemas.microsoft.com/office/drawing/2014/main" id="{0F1FF8FA-E9ED-4409-8FEB-85152BA0235C}"/>
            </a:ext>
          </a:extLst>
        </xdr:cNvPr>
        <xdr:cNvSpPr/>
      </xdr:nvSpPr>
      <xdr:spPr>
        <a:xfrm rot="10800000">
          <a:off x="10788731" y="41932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76</xdr:row>
      <xdr:rowOff>196272</xdr:rowOff>
    </xdr:from>
    <xdr:to>
      <xdr:col>8</xdr:col>
      <xdr:colOff>2320636</xdr:colOff>
      <xdr:row>76</xdr:row>
      <xdr:rowOff>346363</xdr:rowOff>
    </xdr:to>
    <xdr:sp macro="" textlink="">
      <xdr:nvSpPr>
        <xdr:cNvPr id="221" name="Isosceles Triangle 220">
          <a:extLst>
            <a:ext uri="{FF2B5EF4-FFF2-40B4-BE49-F238E27FC236}">
              <a16:creationId xmlns:a16="http://schemas.microsoft.com/office/drawing/2014/main" id="{A21AE59D-D3E1-4907-AFC1-0E40DD9840A5}"/>
            </a:ext>
          </a:extLst>
        </xdr:cNvPr>
        <xdr:cNvSpPr/>
      </xdr:nvSpPr>
      <xdr:spPr>
        <a:xfrm rot="10800000">
          <a:off x="10788731" y="42509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77</xdr:row>
      <xdr:rowOff>196272</xdr:rowOff>
    </xdr:from>
    <xdr:to>
      <xdr:col>8</xdr:col>
      <xdr:colOff>2320636</xdr:colOff>
      <xdr:row>77</xdr:row>
      <xdr:rowOff>346363</xdr:rowOff>
    </xdr:to>
    <xdr:sp macro="" textlink="">
      <xdr:nvSpPr>
        <xdr:cNvPr id="222" name="Isosceles Triangle 221">
          <a:extLst>
            <a:ext uri="{FF2B5EF4-FFF2-40B4-BE49-F238E27FC236}">
              <a16:creationId xmlns:a16="http://schemas.microsoft.com/office/drawing/2014/main" id="{04DD046E-5327-4BC2-BBCE-96C98111E98C}"/>
            </a:ext>
          </a:extLst>
        </xdr:cNvPr>
        <xdr:cNvSpPr/>
      </xdr:nvSpPr>
      <xdr:spPr>
        <a:xfrm rot="10800000">
          <a:off x="10788731" y="43085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78</xdr:row>
      <xdr:rowOff>196272</xdr:rowOff>
    </xdr:from>
    <xdr:to>
      <xdr:col>8</xdr:col>
      <xdr:colOff>2320636</xdr:colOff>
      <xdr:row>78</xdr:row>
      <xdr:rowOff>346363</xdr:rowOff>
    </xdr:to>
    <xdr:sp macro="" textlink="">
      <xdr:nvSpPr>
        <xdr:cNvPr id="223" name="Isosceles Triangle 222">
          <a:extLst>
            <a:ext uri="{FF2B5EF4-FFF2-40B4-BE49-F238E27FC236}">
              <a16:creationId xmlns:a16="http://schemas.microsoft.com/office/drawing/2014/main" id="{19D08A48-D446-468E-8223-684117853790}"/>
            </a:ext>
          </a:extLst>
        </xdr:cNvPr>
        <xdr:cNvSpPr/>
      </xdr:nvSpPr>
      <xdr:spPr>
        <a:xfrm rot="10800000">
          <a:off x="10788731" y="43662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74</xdr:row>
      <xdr:rowOff>196272</xdr:rowOff>
    </xdr:from>
    <xdr:to>
      <xdr:col>10</xdr:col>
      <xdr:colOff>2320636</xdr:colOff>
      <xdr:row>74</xdr:row>
      <xdr:rowOff>346363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A31EEA62-CCC2-4296-A9D5-E9C855EC634D}"/>
            </a:ext>
          </a:extLst>
        </xdr:cNvPr>
        <xdr:cNvSpPr/>
      </xdr:nvSpPr>
      <xdr:spPr>
        <a:xfrm rot="10800000">
          <a:off x="14250388" y="413551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75</xdr:row>
      <xdr:rowOff>196272</xdr:rowOff>
    </xdr:from>
    <xdr:to>
      <xdr:col>10</xdr:col>
      <xdr:colOff>2320636</xdr:colOff>
      <xdr:row>75</xdr:row>
      <xdr:rowOff>346363</xdr:rowOff>
    </xdr:to>
    <xdr:sp macro="" textlink="">
      <xdr:nvSpPr>
        <xdr:cNvPr id="225" name="Isosceles Triangle 224">
          <a:extLst>
            <a:ext uri="{FF2B5EF4-FFF2-40B4-BE49-F238E27FC236}">
              <a16:creationId xmlns:a16="http://schemas.microsoft.com/office/drawing/2014/main" id="{D86C06D9-DED8-4479-AF6B-FAD317075725}"/>
            </a:ext>
          </a:extLst>
        </xdr:cNvPr>
        <xdr:cNvSpPr/>
      </xdr:nvSpPr>
      <xdr:spPr>
        <a:xfrm rot="10800000">
          <a:off x="14250388" y="41932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76</xdr:row>
      <xdr:rowOff>196272</xdr:rowOff>
    </xdr:from>
    <xdr:to>
      <xdr:col>10</xdr:col>
      <xdr:colOff>2320636</xdr:colOff>
      <xdr:row>76</xdr:row>
      <xdr:rowOff>346363</xdr:rowOff>
    </xdr:to>
    <xdr:sp macro="" textlink="">
      <xdr:nvSpPr>
        <xdr:cNvPr id="226" name="Isosceles Triangle 225">
          <a:extLst>
            <a:ext uri="{FF2B5EF4-FFF2-40B4-BE49-F238E27FC236}">
              <a16:creationId xmlns:a16="http://schemas.microsoft.com/office/drawing/2014/main" id="{E0478BBD-B32E-4BBA-8925-24EED720779B}"/>
            </a:ext>
          </a:extLst>
        </xdr:cNvPr>
        <xdr:cNvSpPr/>
      </xdr:nvSpPr>
      <xdr:spPr>
        <a:xfrm rot="10800000">
          <a:off x="14250388" y="42509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77</xdr:row>
      <xdr:rowOff>196272</xdr:rowOff>
    </xdr:from>
    <xdr:to>
      <xdr:col>10</xdr:col>
      <xdr:colOff>2320636</xdr:colOff>
      <xdr:row>77</xdr:row>
      <xdr:rowOff>346363</xdr:rowOff>
    </xdr:to>
    <xdr:sp macro="" textlink="">
      <xdr:nvSpPr>
        <xdr:cNvPr id="227" name="Isosceles Triangle 226">
          <a:extLst>
            <a:ext uri="{FF2B5EF4-FFF2-40B4-BE49-F238E27FC236}">
              <a16:creationId xmlns:a16="http://schemas.microsoft.com/office/drawing/2014/main" id="{4B49E03C-2EBC-4F52-B297-7B05A3AB12F3}"/>
            </a:ext>
          </a:extLst>
        </xdr:cNvPr>
        <xdr:cNvSpPr/>
      </xdr:nvSpPr>
      <xdr:spPr>
        <a:xfrm rot="10800000">
          <a:off x="14250388" y="43085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78</xdr:row>
      <xdr:rowOff>196272</xdr:rowOff>
    </xdr:from>
    <xdr:to>
      <xdr:col>10</xdr:col>
      <xdr:colOff>2320636</xdr:colOff>
      <xdr:row>78</xdr:row>
      <xdr:rowOff>346363</xdr:rowOff>
    </xdr:to>
    <xdr:sp macro="" textlink="">
      <xdr:nvSpPr>
        <xdr:cNvPr id="228" name="Isosceles Triangle 227">
          <a:extLst>
            <a:ext uri="{FF2B5EF4-FFF2-40B4-BE49-F238E27FC236}">
              <a16:creationId xmlns:a16="http://schemas.microsoft.com/office/drawing/2014/main" id="{1C44D4EF-43FF-469A-B94D-DFCF61724EA2}"/>
            </a:ext>
          </a:extLst>
        </xdr:cNvPr>
        <xdr:cNvSpPr/>
      </xdr:nvSpPr>
      <xdr:spPr>
        <a:xfrm rot="10800000">
          <a:off x="14250388" y="43662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68</xdr:row>
      <xdr:rowOff>196272</xdr:rowOff>
    </xdr:from>
    <xdr:to>
      <xdr:col>8</xdr:col>
      <xdr:colOff>2320636</xdr:colOff>
      <xdr:row>68</xdr:row>
      <xdr:rowOff>346363</xdr:rowOff>
    </xdr:to>
    <xdr:sp macro="" textlink="">
      <xdr:nvSpPr>
        <xdr:cNvPr id="229" name="Isosceles Triangle 228">
          <a:extLst>
            <a:ext uri="{FF2B5EF4-FFF2-40B4-BE49-F238E27FC236}">
              <a16:creationId xmlns:a16="http://schemas.microsoft.com/office/drawing/2014/main" id="{A886AB29-FD08-4924-B350-7006EF70FFC6}"/>
            </a:ext>
          </a:extLst>
        </xdr:cNvPr>
        <xdr:cNvSpPr/>
      </xdr:nvSpPr>
      <xdr:spPr>
        <a:xfrm rot="10800000">
          <a:off x="10788731" y="37893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69</xdr:row>
      <xdr:rowOff>196272</xdr:rowOff>
    </xdr:from>
    <xdr:to>
      <xdr:col>8</xdr:col>
      <xdr:colOff>2320636</xdr:colOff>
      <xdr:row>69</xdr:row>
      <xdr:rowOff>346363</xdr:rowOff>
    </xdr:to>
    <xdr:sp macro="" textlink="">
      <xdr:nvSpPr>
        <xdr:cNvPr id="230" name="Isosceles Triangle 229">
          <a:extLst>
            <a:ext uri="{FF2B5EF4-FFF2-40B4-BE49-F238E27FC236}">
              <a16:creationId xmlns:a16="http://schemas.microsoft.com/office/drawing/2014/main" id="{20EA33A1-82DA-4DDA-8A5B-6ABD001B9040}"/>
            </a:ext>
          </a:extLst>
        </xdr:cNvPr>
        <xdr:cNvSpPr/>
      </xdr:nvSpPr>
      <xdr:spPr>
        <a:xfrm rot="10800000">
          <a:off x="10788731" y="38470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70</xdr:row>
      <xdr:rowOff>196272</xdr:rowOff>
    </xdr:from>
    <xdr:to>
      <xdr:col>8</xdr:col>
      <xdr:colOff>2320636</xdr:colOff>
      <xdr:row>70</xdr:row>
      <xdr:rowOff>346363</xdr:rowOff>
    </xdr:to>
    <xdr:sp macro="" textlink="">
      <xdr:nvSpPr>
        <xdr:cNvPr id="231" name="Isosceles Triangle 230">
          <a:extLst>
            <a:ext uri="{FF2B5EF4-FFF2-40B4-BE49-F238E27FC236}">
              <a16:creationId xmlns:a16="http://schemas.microsoft.com/office/drawing/2014/main" id="{5A2D62A1-3086-4592-98A7-283D94EE3A4A}"/>
            </a:ext>
          </a:extLst>
        </xdr:cNvPr>
        <xdr:cNvSpPr/>
      </xdr:nvSpPr>
      <xdr:spPr>
        <a:xfrm rot="10800000">
          <a:off x="10788731" y="39047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71</xdr:row>
      <xdr:rowOff>196272</xdr:rowOff>
    </xdr:from>
    <xdr:to>
      <xdr:col>8</xdr:col>
      <xdr:colOff>2320636</xdr:colOff>
      <xdr:row>71</xdr:row>
      <xdr:rowOff>346363</xdr:rowOff>
    </xdr:to>
    <xdr:sp macro="" textlink="">
      <xdr:nvSpPr>
        <xdr:cNvPr id="232" name="Isosceles Triangle 231">
          <a:extLst>
            <a:ext uri="{FF2B5EF4-FFF2-40B4-BE49-F238E27FC236}">
              <a16:creationId xmlns:a16="http://schemas.microsoft.com/office/drawing/2014/main" id="{30B19DF4-AD89-43B0-A59F-F1D5981A835F}"/>
            </a:ext>
          </a:extLst>
        </xdr:cNvPr>
        <xdr:cNvSpPr/>
      </xdr:nvSpPr>
      <xdr:spPr>
        <a:xfrm rot="10800000">
          <a:off x="10788731" y="39624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72</xdr:row>
      <xdr:rowOff>196272</xdr:rowOff>
    </xdr:from>
    <xdr:to>
      <xdr:col>8</xdr:col>
      <xdr:colOff>2320636</xdr:colOff>
      <xdr:row>72</xdr:row>
      <xdr:rowOff>346363</xdr:rowOff>
    </xdr:to>
    <xdr:sp macro="" textlink="">
      <xdr:nvSpPr>
        <xdr:cNvPr id="233" name="Isosceles Triangle 232">
          <a:extLst>
            <a:ext uri="{FF2B5EF4-FFF2-40B4-BE49-F238E27FC236}">
              <a16:creationId xmlns:a16="http://schemas.microsoft.com/office/drawing/2014/main" id="{64DE6211-7805-4C03-A034-28C78890CFFA}"/>
            </a:ext>
          </a:extLst>
        </xdr:cNvPr>
        <xdr:cNvSpPr/>
      </xdr:nvSpPr>
      <xdr:spPr>
        <a:xfrm rot="10800000">
          <a:off x="10788731" y="4020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234" name="Isosceles Triangle 233">
          <a:extLst>
            <a:ext uri="{FF2B5EF4-FFF2-40B4-BE49-F238E27FC236}">
              <a16:creationId xmlns:a16="http://schemas.microsoft.com/office/drawing/2014/main" id="{1DD58ECE-3FA5-426E-98FB-5B35D5BF8473}"/>
            </a:ext>
          </a:extLst>
        </xdr:cNvPr>
        <xdr:cNvSpPr/>
      </xdr:nvSpPr>
      <xdr:spPr>
        <a:xfrm rot="10800000">
          <a:off x="14250388" y="37893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235" name="Isosceles Triangle 234">
          <a:extLst>
            <a:ext uri="{FF2B5EF4-FFF2-40B4-BE49-F238E27FC236}">
              <a16:creationId xmlns:a16="http://schemas.microsoft.com/office/drawing/2014/main" id="{657E910E-9163-464D-8356-28337202367E}"/>
            </a:ext>
          </a:extLst>
        </xdr:cNvPr>
        <xdr:cNvSpPr/>
      </xdr:nvSpPr>
      <xdr:spPr>
        <a:xfrm rot="10800000">
          <a:off x="14250388" y="38470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70</xdr:row>
      <xdr:rowOff>196272</xdr:rowOff>
    </xdr:from>
    <xdr:to>
      <xdr:col>10</xdr:col>
      <xdr:colOff>2320636</xdr:colOff>
      <xdr:row>70</xdr:row>
      <xdr:rowOff>346363</xdr:rowOff>
    </xdr:to>
    <xdr:sp macro="" textlink="">
      <xdr:nvSpPr>
        <xdr:cNvPr id="236" name="Isosceles Triangle 235">
          <a:extLst>
            <a:ext uri="{FF2B5EF4-FFF2-40B4-BE49-F238E27FC236}">
              <a16:creationId xmlns:a16="http://schemas.microsoft.com/office/drawing/2014/main" id="{C304638C-BE01-4020-A327-E8AD1DF79D83}"/>
            </a:ext>
          </a:extLst>
        </xdr:cNvPr>
        <xdr:cNvSpPr/>
      </xdr:nvSpPr>
      <xdr:spPr>
        <a:xfrm rot="10800000">
          <a:off x="14250388" y="39047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71</xdr:row>
      <xdr:rowOff>196272</xdr:rowOff>
    </xdr:from>
    <xdr:to>
      <xdr:col>10</xdr:col>
      <xdr:colOff>2320636</xdr:colOff>
      <xdr:row>71</xdr:row>
      <xdr:rowOff>346363</xdr:rowOff>
    </xdr:to>
    <xdr:sp macro="" textlink="">
      <xdr:nvSpPr>
        <xdr:cNvPr id="237" name="Isosceles Triangle 236">
          <a:extLst>
            <a:ext uri="{FF2B5EF4-FFF2-40B4-BE49-F238E27FC236}">
              <a16:creationId xmlns:a16="http://schemas.microsoft.com/office/drawing/2014/main" id="{843D1639-DF85-4B9B-8298-9BE367C55694}"/>
            </a:ext>
          </a:extLst>
        </xdr:cNvPr>
        <xdr:cNvSpPr/>
      </xdr:nvSpPr>
      <xdr:spPr>
        <a:xfrm rot="10800000">
          <a:off x="14250388" y="39624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72</xdr:row>
      <xdr:rowOff>196272</xdr:rowOff>
    </xdr:from>
    <xdr:to>
      <xdr:col>10</xdr:col>
      <xdr:colOff>2320636</xdr:colOff>
      <xdr:row>72</xdr:row>
      <xdr:rowOff>346363</xdr:rowOff>
    </xdr:to>
    <xdr:sp macro="" textlink="">
      <xdr:nvSpPr>
        <xdr:cNvPr id="238" name="Isosceles Triangle 237">
          <a:extLst>
            <a:ext uri="{FF2B5EF4-FFF2-40B4-BE49-F238E27FC236}">
              <a16:creationId xmlns:a16="http://schemas.microsoft.com/office/drawing/2014/main" id="{E0B8F019-6E34-428F-8FB4-56015C20F099}"/>
            </a:ext>
          </a:extLst>
        </xdr:cNvPr>
        <xdr:cNvSpPr/>
      </xdr:nvSpPr>
      <xdr:spPr>
        <a:xfrm rot="10800000">
          <a:off x="14250388" y="4020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62</xdr:row>
      <xdr:rowOff>196272</xdr:rowOff>
    </xdr:from>
    <xdr:to>
      <xdr:col>8</xdr:col>
      <xdr:colOff>2320636</xdr:colOff>
      <xdr:row>62</xdr:row>
      <xdr:rowOff>346363</xdr:rowOff>
    </xdr:to>
    <xdr:sp macro="" textlink="">
      <xdr:nvSpPr>
        <xdr:cNvPr id="239" name="Isosceles Triangle 238">
          <a:extLst>
            <a:ext uri="{FF2B5EF4-FFF2-40B4-BE49-F238E27FC236}">
              <a16:creationId xmlns:a16="http://schemas.microsoft.com/office/drawing/2014/main" id="{00B973F7-8F88-4CA8-B5CF-6D0A4CD0FC35}"/>
            </a:ext>
          </a:extLst>
        </xdr:cNvPr>
        <xdr:cNvSpPr/>
      </xdr:nvSpPr>
      <xdr:spPr>
        <a:xfrm rot="10800000">
          <a:off x="10788731" y="344318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63</xdr:row>
      <xdr:rowOff>196272</xdr:rowOff>
    </xdr:from>
    <xdr:to>
      <xdr:col>8</xdr:col>
      <xdr:colOff>2320636</xdr:colOff>
      <xdr:row>63</xdr:row>
      <xdr:rowOff>346363</xdr:rowOff>
    </xdr:to>
    <xdr:sp macro="" textlink="">
      <xdr:nvSpPr>
        <xdr:cNvPr id="240" name="Isosceles Triangle 239">
          <a:extLst>
            <a:ext uri="{FF2B5EF4-FFF2-40B4-BE49-F238E27FC236}">
              <a16:creationId xmlns:a16="http://schemas.microsoft.com/office/drawing/2014/main" id="{C737B2E1-1CCD-4409-A2FE-C9EB23F5AD07}"/>
            </a:ext>
          </a:extLst>
        </xdr:cNvPr>
        <xdr:cNvSpPr/>
      </xdr:nvSpPr>
      <xdr:spPr>
        <a:xfrm rot="10800000">
          <a:off x="10788731" y="35008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64</xdr:row>
      <xdr:rowOff>196272</xdr:rowOff>
    </xdr:from>
    <xdr:to>
      <xdr:col>8</xdr:col>
      <xdr:colOff>2320636</xdr:colOff>
      <xdr:row>64</xdr:row>
      <xdr:rowOff>346363</xdr:rowOff>
    </xdr:to>
    <xdr:sp macro="" textlink="">
      <xdr:nvSpPr>
        <xdr:cNvPr id="241" name="Isosceles Triangle 240">
          <a:extLst>
            <a:ext uri="{FF2B5EF4-FFF2-40B4-BE49-F238E27FC236}">
              <a16:creationId xmlns:a16="http://schemas.microsoft.com/office/drawing/2014/main" id="{5780EB3D-A382-488A-A920-E5DF9A4EA6CE}"/>
            </a:ext>
          </a:extLst>
        </xdr:cNvPr>
        <xdr:cNvSpPr/>
      </xdr:nvSpPr>
      <xdr:spPr>
        <a:xfrm rot="10800000">
          <a:off x="10788731" y="35585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65</xdr:row>
      <xdr:rowOff>196272</xdr:rowOff>
    </xdr:from>
    <xdr:to>
      <xdr:col>8</xdr:col>
      <xdr:colOff>2320636</xdr:colOff>
      <xdr:row>65</xdr:row>
      <xdr:rowOff>346363</xdr:rowOff>
    </xdr:to>
    <xdr:sp macro="" textlink="">
      <xdr:nvSpPr>
        <xdr:cNvPr id="242" name="Isosceles Triangle 241">
          <a:extLst>
            <a:ext uri="{FF2B5EF4-FFF2-40B4-BE49-F238E27FC236}">
              <a16:creationId xmlns:a16="http://schemas.microsoft.com/office/drawing/2014/main" id="{EB3A808D-2937-41E5-BDE8-D7A86B269AC1}"/>
            </a:ext>
          </a:extLst>
        </xdr:cNvPr>
        <xdr:cNvSpPr/>
      </xdr:nvSpPr>
      <xdr:spPr>
        <a:xfrm rot="10800000">
          <a:off x="10788731" y="36162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66</xdr:row>
      <xdr:rowOff>196272</xdr:rowOff>
    </xdr:from>
    <xdr:to>
      <xdr:col>8</xdr:col>
      <xdr:colOff>2320636</xdr:colOff>
      <xdr:row>66</xdr:row>
      <xdr:rowOff>346363</xdr:rowOff>
    </xdr:to>
    <xdr:sp macro="" textlink="">
      <xdr:nvSpPr>
        <xdr:cNvPr id="243" name="Isosceles Triangle 242">
          <a:extLst>
            <a:ext uri="{FF2B5EF4-FFF2-40B4-BE49-F238E27FC236}">
              <a16:creationId xmlns:a16="http://schemas.microsoft.com/office/drawing/2014/main" id="{6CF39950-9556-443A-A778-EA56A3B1A09B}"/>
            </a:ext>
          </a:extLst>
        </xdr:cNvPr>
        <xdr:cNvSpPr/>
      </xdr:nvSpPr>
      <xdr:spPr>
        <a:xfrm rot="10800000">
          <a:off x="10788731" y="36739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244" name="Isosceles Triangle 243">
          <a:extLst>
            <a:ext uri="{FF2B5EF4-FFF2-40B4-BE49-F238E27FC236}">
              <a16:creationId xmlns:a16="http://schemas.microsoft.com/office/drawing/2014/main" id="{E3D67BB1-583E-42AD-A6C3-CA96B808853E}"/>
            </a:ext>
          </a:extLst>
        </xdr:cNvPr>
        <xdr:cNvSpPr/>
      </xdr:nvSpPr>
      <xdr:spPr>
        <a:xfrm rot="10800000">
          <a:off x="14250388" y="344318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245" name="Isosceles Triangle 244">
          <a:extLst>
            <a:ext uri="{FF2B5EF4-FFF2-40B4-BE49-F238E27FC236}">
              <a16:creationId xmlns:a16="http://schemas.microsoft.com/office/drawing/2014/main" id="{D39491D1-EA73-4B87-BF08-8921BEF209B6}"/>
            </a:ext>
          </a:extLst>
        </xdr:cNvPr>
        <xdr:cNvSpPr/>
      </xdr:nvSpPr>
      <xdr:spPr>
        <a:xfrm rot="10800000">
          <a:off x="14250388" y="35008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246" name="Isosceles Triangle 245">
          <a:extLst>
            <a:ext uri="{FF2B5EF4-FFF2-40B4-BE49-F238E27FC236}">
              <a16:creationId xmlns:a16="http://schemas.microsoft.com/office/drawing/2014/main" id="{87DA5226-74A8-40C2-933D-534059F777FD}"/>
            </a:ext>
          </a:extLst>
        </xdr:cNvPr>
        <xdr:cNvSpPr/>
      </xdr:nvSpPr>
      <xdr:spPr>
        <a:xfrm rot="10800000">
          <a:off x="14250388" y="35585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247" name="Isosceles Triangle 246">
          <a:extLst>
            <a:ext uri="{FF2B5EF4-FFF2-40B4-BE49-F238E27FC236}">
              <a16:creationId xmlns:a16="http://schemas.microsoft.com/office/drawing/2014/main" id="{33F36E90-0937-4B89-8C47-4C677915D0E5}"/>
            </a:ext>
          </a:extLst>
        </xdr:cNvPr>
        <xdr:cNvSpPr/>
      </xdr:nvSpPr>
      <xdr:spPr>
        <a:xfrm rot="10800000">
          <a:off x="14250388" y="36162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66</xdr:row>
      <xdr:rowOff>196272</xdr:rowOff>
    </xdr:from>
    <xdr:to>
      <xdr:col>10</xdr:col>
      <xdr:colOff>2320636</xdr:colOff>
      <xdr:row>66</xdr:row>
      <xdr:rowOff>346363</xdr:rowOff>
    </xdr:to>
    <xdr:sp macro="" textlink="">
      <xdr:nvSpPr>
        <xdr:cNvPr id="248" name="Isosceles Triangle 247">
          <a:extLst>
            <a:ext uri="{FF2B5EF4-FFF2-40B4-BE49-F238E27FC236}">
              <a16:creationId xmlns:a16="http://schemas.microsoft.com/office/drawing/2014/main" id="{F25D8754-97FC-4B4A-B090-2FB9E13E11E5}"/>
            </a:ext>
          </a:extLst>
        </xdr:cNvPr>
        <xdr:cNvSpPr/>
      </xdr:nvSpPr>
      <xdr:spPr>
        <a:xfrm rot="10800000">
          <a:off x="14250388" y="36739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56</xdr:row>
      <xdr:rowOff>196272</xdr:rowOff>
    </xdr:from>
    <xdr:to>
      <xdr:col>8</xdr:col>
      <xdr:colOff>2320636</xdr:colOff>
      <xdr:row>56</xdr:row>
      <xdr:rowOff>346363</xdr:rowOff>
    </xdr:to>
    <xdr:sp macro="" textlink="">
      <xdr:nvSpPr>
        <xdr:cNvPr id="249" name="Isosceles Triangle 248">
          <a:extLst>
            <a:ext uri="{FF2B5EF4-FFF2-40B4-BE49-F238E27FC236}">
              <a16:creationId xmlns:a16="http://schemas.microsoft.com/office/drawing/2014/main" id="{46AEEA4B-642F-4EBB-A830-D1FB37B053AF}"/>
            </a:ext>
          </a:extLst>
        </xdr:cNvPr>
        <xdr:cNvSpPr/>
      </xdr:nvSpPr>
      <xdr:spPr>
        <a:xfrm rot="10800000">
          <a:off x="10788731" y="30970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57</xdr:row>
      <xdr:rowOff>196272</xdr:rowOff>
    </xdr:from>
    <xdr:to>
      <xdr:col>8</xdr:col>
      <xdr:colOff>2320636</xdr:colOff>
      <xdr:row>57</xdr:row>
      <xdr:rowOff>346363</xdr:rowOff>
    </xdr:to>
    <xdr:sp macro="" textlink="">
      <xdr:nvSpPr>
        <xdr:cNvPr id="250" name="Isosceles Triangle 249">
          <a:extLst>
            <a:ext uri="{FF2B5EF4-FFF2-40B4-BE49-F238E27FC236}">
              <a16:creationId xmlns:a16="http://schemas.microsoft.com/office/drawing/2014/main" id="{3BC014DC-60A7-4EA3-AB51-0FAF01582023}"/>
            </a:ext>
          </a:extLst>
        </xdr:cNvPr>
        <xdr:cNvSpPr/>
      </xdr:nvSpPr>
      <xdr:spPr>
        <a:xfrm rot="10800000">
          <a:off x="10788731" y="31547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58</xdr:row>
      <xdr:rowOff>196272</xdr:rowOff>
    </xdr:from>
    <xdr:to>
      <xdr:col>8</xdr:col>
      <xdr:colOff>2320636</xdr:colOff>
      <xdr:row>58</xdr:row>
      <xdr:rowOff>346363</xdr:rowOff>
    </xdr:to>
    <xdr:sp macro="" textlink="">
      <xdr:nvSpPr>
        <xdr:cNvPr id="251" name="Isosceles Triangle 250">
          <a:extLst>
            <a:ext uri="{FF2B5EF4-FFF2-40B4-BE49-F238E27FC236}">
              <a16:creationId xmlns:a16="http://schemas.microsoft.com/office/drawing/2014/main" id="{AA07D73D-0E92-4392-9B5E-88D3333FEF7D}"/>
            </a:ext>
          </a:extLst>
        </xdr:cNvPr>
        <xdr:cNvSpPr/>
      </xdr:nvSpPr>
      <xdr:spPr>
        <a:xfrm rot="10800000">
          <a:off x="10788731" y="321240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59</xdr:row>
      <xdr:rowOff>196272</xdr:rowOff>
    </xdr:from>
    <xdr:to>
      <xdr:col>8</xdr:col>
      <xdr:colOff>2320636</xdr:colOff>
      <xdr:row>59</xdr:row>
      <xdr:rowOff>346363</xdr:rowOff>
    </xdr:to>
    <xdr:sp macro="" textlink="">
      <xdr:nvSpPr>
        <xdr:cNvPr id="252" name="Isosceles Triangle 251">
          <a:extLst>
            <a:ext uri="{FF2B5EF4-FFF2-40B4-BE49-F238E27FC236}">
              <a16:creationId xmlns:a16="http://schemas.microsoft.com/office/drawing/2014/main" id="{6BABF9FD-540D-48C7-8D7A-C15613941767}"/>
            </a:ext>
          </a:extLst>
        </xdr:cNvPr>
        <xdr:cNvSpPr/>
      </xdr:nvSpPr>
      <xdr:spPr>
        <a:xfrm rot="10800000">
          <a:off x="10788731" y="32701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60</xdr:row>
      <xdr:rowOff>196272</xdr:rowOff>
    </xdr:from>
    <xdr:to>
      <xdr:col>8</xdr:col>
      <xdr:colOff>2320636</xdr:colOff>
      <xdr:row>60</xdr:row>
      <xdr:rowOff>346363</xdr:rowOff>
    </xdr:to>
    <xdr:sp macro="" textlink="">
      <xdr:nvSpPr>
        <xdr:cNvPr id="253" name="Isosceles Triangle 252">
          <a:extLst>
            <a:ext uri="{FF2B5EF4-FFF2-40B4-BE49-F238E27FC236}">
              <a16:creationId xmlns:a16="http://schemas.microsoft.com/office/drawing/2014/main" id="{1DAFDE4A-E8B4-407A-8C64-21D2768E161C}"/>
            </a:ext>
          </a:extLst>
        </xdr:cNvPr>
        <xdr:cNvSpPr/>
      </xdr:nvSpPr>
      <xdr:spPr>
        <a:xfrm rot="10800000">
          <a:off x="10788731" y="33277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56</xdr:row>
      <xdr:rowOff>196272</xdr:rowOff>
    </xdr:from>
    <xdr:to>
      <xdr:col>10</xdr:col>
      <xdr:colOff>2320636</xdr:colOff>
      <xdr:row>56</xdr:row>
      <xdr:rowOff>346363</xdr:rowOff>
    </xdr:to>
    <xdr:sp macro="" textlink="">
      <xdr:nvSpPr>
        <xdr:cNvPr id="254" name="Isosceles Triangle 253">
          <a:extLst>
            <a:ext uri="{FF2B5EF4-FFF2-40B4-BE49-F238E27FC236}">
              <a16:creationId xmlns:a16="http://schemas.microsoft.com/office/drawing/2014/main" id="{64D29C7B-0119-478C-9F97-DC59DAD437FE}"/>
            </a:ext>
          </a:extLst>
        </xdr:cNvPr>
        <xdr:cNvSpPr/>
      </xdr:nvSpPr>
      <xdr:spPr>
        <a:xfrm rot="10800000">
          <a:off x="14250388" y="30970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57</xdr:row>
      <xdr:rowOff>196272</xdr:rowOff>
    </xdr:from>
    <xdr:to>
      <xdr:col>10</xdr:col>
      <xdr:colOff>2320636</xdr:colOff>
      <xdr:row>57</xdr:row>
      <xdr:rowOff>346363</xdr:rowOff>
    </xdr:to>
    <xdr:sp macro="" textlink="">
      <xdr:nvSpPr>
        <xdr:cNvPr id="255" name="Isosceles Triangle 254">
          <a:extLst>
            <a:ext uri="{FF2B5EF4-FFF2-40B4-BE49-F238E27FC236}">
              <a16:creationId xmlns:a16="http://schemas.microsoft.com/office/drawing/2014/main" id="{88EDFC51-9C0F-49CF-83A9-4EE869BEB881}"/>
            </a:ext>
          </a:extLst>
        </xdr:cNvPr>
        <xdr:cNvSpPr/>
      </xdr:nvSpPr>
      <xdr:spPr>
        <a:xfrm rot="10800000">
          <a:off x="14250388" y="31547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256" name="Isosceles Triangle 255">
          <a:extLst>
            <a:ext uri="{FF2B5EF4-FFF2-40B4-BE49-F238E27FC236}">
              <a16:creationId xmlns:a16="http://schemas.microsoft.com/office/drawing/2014/main" id="{3A10BA70-D02B-441B-B081-F783235CF49C}"/>
            </a:ext>
          </a:extLst>
        </xdr:cNvPr>
        <xdr:cNvSpPr/>
      </xdr:nvSpPr>
      <xdr:spPr>
        <a:xfrm rot="10800000">
          <a:off x="14250388" y="321240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59</xdr:row>
      <xdr:rowOff>196272</xdr:rowOff>
    </xdr:from>
    <xdr:to>
      <xdr:col>10</xdr:col>
      <xdr:colOff>2320636</xdr:colOff>
      <xdr:row>59</xdr:row>
      <xdr:rowOff>346363</xdr:rowOff>
    </xdr:to>
    <xdr:sp macro="" textlink="">
      <xdr:nvSpPr>
        <xdr:cNvPr id="257" name="Isosceles Triangle 256">
          <a:extLst>
            <a:ext uri="{FF2B5EF4-FFF2-40B4-BE49-F238E27FC236}">
              <a16:creationId xmlns:a16="http://schemas.microsoft.com/office/drawing/2014/main" id="{E3A3697A-1AC6-46B7-AD9A-84BC43F2DA72}"/>
            </a:ext>
          </a:extLst>
        </xdr:cNvPr>
        <xdr:cNvSpPr/>
      </xdr:nvSpPr>
      <xdr:spPr>
        <a:xfrm rot="10800000">
          <a:off x="14250388" y="32701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60</xdr:row>
      <xdr:rowOff>196272</xdr:rowOff>
    </xdr:from>
    <xdr:to>
      <xdr:col>10</xdr:col>
      <xdr:colOff>2320636</xdr:colOff>
      <xdr:row>60</xdr:row>
      <xdr:rowOff>346363</xdr:rowOff>
    </xdr:to>
    <xdr:sp macro="" textlink="">
      <xdr:nvSpPr>
        <xdr:cNvPr id="258" name="Isosceles Triangle 257">
          <a:extLst>
            <a:ext uri="{FF2B5EF4-FFF2-40B4-BE49-F238E27FC236}">
              <a16:creationId xmlns:a16="http://schemas.microsoft.com/office/drawing/2014/main" id="{4BC8B2DA-5297-466E-BB2B-63DE25D6ADD7}"/>
            </a:ext>
          </a:extLst>
        </xdr:cNvPr>
        <xdr:cNvSpPr/>
      </xdr:nvSpPr>
      <xdr:spPr>
        <a:xfrm rot="10800000">
          <a:off x="14250388" y="33277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7</xdr:row>
      <xdr:rowOff>196274</xdr:rowOff>
    </xdr:from>
    <xdr:to>
      <xdr:col>9</xdr:col>
      <xdr:colOff>877456</xdr:colOff>
      <xdr:row>7</xdr:row>
      <xdr:rowOff>346365</xdr:rowOff>
    </xdr:to>
    <xdr:sp macro="" textlink="">
      <xdr:nvSpPr>
        <xdr:cNvPr id="259" name="Isosceles Triangle 258">
          <a:extLst>
            <a:ext uri="{FF2B5EF4-FFF2-40B4-BE49-F238E27FC236}">
              <a16:creationId xmlns:a16="http://schemas.microsoft.com/office/drawing/2014/main" id="{69CD96B6-BAEE-4D39-80F7-05B97D488A36}"/>
            </a:ext>
          </a:extLst>
        </xdr:cNvPr>
        <xdr:cNvSpPr/>
      </xdr:nvSpPr>
      <xdr:spPr>
        <a:xfrm rot="10800000">
          <a:off x="11805723" y="262378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13</xdr:row>
      <xdr:rowOff>184727</xdr:rowOff>
    </xdr:from>
    <xdr:to>
      <xdr:col>9</xdr:col>
      <xdr:colOff>877455</xdr:colOff>
      <xdr:row>13</xdr:row>
      <xdr:rowOff>334818</xdr:rowOff>
    </xdr:to>
    <xdr:sp macro="" textlink="">
      <xdr:nvSpPr>
        <xdr:cNvPr id="260" name="Isosceles Triangle 259">
          <a:extLst>
            <a:ext uri="{FF2B5EF4-FFF2-40B4-BE49-F238E27FC236}">
              <a16:creationId xmlns:a16="http://schemas.microsoft.com/office/drawing/2014/main" id="{07038D36-BB7B-4953-BC63-AD885B94BAB8}"/>
            </a:ext>
          </a:extLst>
        </xdr:cNvPr>
        <xdr:cNvSpPr/>
      </xdr:nvSpPr>
      <xdr:spPr>
        <a:xfrm rot="10800000">
          <a:off x="11805722" y="607389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19</xdr:row>
      <xdr:rowOff>184727</xdr:rowOff>
    </xdr:from>
    <xdr:to>
      <xdr:col>9</xdr:col>
      <xdr:colOff>877455</xdr:colOff>
      <xdr:row>19</xdr:row>
      <xdr:rowOff>334818</xdr:rowOff>
    </xdr:to>
    <xdr:sp macro="" textlink="">
      <xdr:nvSpPr>
        <xdr:cNvPr id="261" name="Isosceles Triangle 260">
          <a:extLst>
            <a:ext uri="{FF2B5EF4-FFF2-40B4-BE49-F238E27FC236}">
              <a16:creationId xmlns:a16="http://schemas.microsoft.com/office/drawing/2014/main" id="{BB77FA45-FA0C-420A-AE2B-E2FC5B4AD473}"/>
            </a:ext>
          </a:extLst>
        </xdr:cNvPr>
        <xdr:cNvSpPr/>
      </xdr:nvSpPr>
      <xdr:spPr>
        <a:xfrm rot="10800000">
          <a:off x="11805722" y="9535556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25</xdr:row>
      <xdr:rowOff>184727</xdr:rowOff>
    </xdr:from>
    <xdr:to>
      <xdr:col>9</xdr:col>
      <xdr:colOff>877455</xdr:colOff>
      <xdr:row>25</xdr:row>
      <xdr:rowOff>334818</xdr:rowOff>
    </xdr:to>
    <xdr:sp macro="" textlink="">
      <xdr:nvSpPr>
        <xdr:cNvPr id="262" name="Isosceles Triangle 261">
          <a:extLst>
            <a:ext uri="{FF2B5EF4-FFF2-40B4-BE49-F238E27FC236}">
              <a16:creationId xmlns:a16="http://schemas.microsoft.com/office/drawing/2014/main" id="{4BA2415B-ECD3-429A-814C-BA8A5A8800DE}"/>
            </a:ext>
          </a:extLst>
        </xdr:cNvPr>
        <xdr:cNvSpPr/>
      </xdr:nvSpPr>
      <xdr:spPr>
        <a:xfrm rot="10800000">
          <a:off x="11805722" y="1299721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31</xdr:row>
      <xdr:rowOff>184727</xdr:rowOff>
    </xdr:from>
    <xdr:to>
      <xdr:col>9</xdr:col>
      <xdr:colOff>877455</xdr:colOff>
      <xdr:row>31</xdr:row>
      <xdr:rowOff>334818</xdr:rowOff>
    </xdr:to>
    <xdr:sp macro="" textlink="">
      <xdr:nvSpPr>
        <xdr:cNvPr id="263" name="Isosceles Triangle 262">
          <a:extLst>
            <a:ext uri="{FF2B5EF4-FFF2-40B4-BE49-F238E27FC236}">
              <a16:creationId xmlns:a16="http://schemas.microsoft.com/office/drawing/2014/main" id="{EFEF2EBE-52B0-4890-9C47-656682151606}"/>
            </a:ext>
          </a:extLst>
        </xdr:cNvPr>
        <xdr:cNvSpPr/>
      </xdr:nvSpPr>
      <xdr:spPr>
        <a:xfrm rot="10800000">
          <a:off x="11805722" y="1645887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37</xdr:row>
      <xdr:rowOff>184727</xdr:rowOff>
    </xdr:from>
    <xdr:to>
      <xdr:col>9</xdr:col>
      <xdr:colOff>877455</xdr:colOff>
      <xdr:row>37</xdr:row>
      <xdr:rowOff>334818</xdr:rowOff>
    </xdr:to>
    <xdr:sp macro="" textlink="">
      <xdr:nvSpPr>
        <xdr:cNvPr id="264" name="Isosceles Triangle 263">
          <a:extLst>
            <a:ext uri="{FF2B5EF4-FFF2-40B4-BE49-F238E27FC236}">
              <a16:creationId xmlns:a16="http://schemas.microsoft.com/office/drawing/2014/main" id="{680ADB8A-65B2-470A-AC98-4E51FA7116D1}"/>
            </a:ext>
          </a:extLst>
        </xdr:cNvPr>
        <xdr:cNvSpPr/>
      </xdr:nvSpPr>
      <xdr:spPr>
        <a:xfrm rot="10800000">
          <a:off x="11805722" y="1992052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43</xdr:row>
      <xdr:rowOff>184727</xdr:rowOff>
    </xdr:from>
    <xdr:to>
      <xdr:col>9</xdr:col>
      <xdr:colOff>877455</xdr:colOff>
      <xdr:row>43</xdr:row>
      <xdr:rowOff>334818</xdr:rowOff>
    </xdr:to>
    <xdr:sp macro="" textlink="">
      <xdr:nvSpPr>
        <xdr:cNvPr id="265" name="Isosceles Triangle 264">
          <a:extLst>
            <a:ext uri="{FF2B5EF4-FFF2-40B4-BE49-F238E27FC236}">
              <a16:creationId xmlns:a16="http://schemas.microsoft.com/office/drawing/2014/main" id="{E2DE3B87-047D-4C6C-B470-F5380C681E30}"/>
            </a:ext>
          </a:extLst>
        </xdr:cNvPr>
        <xdr:cNvSpPr/>
      </xdr:nvSpPr>
      <xdr:spPr>
        <a:xfrm rot="10800000">
          <a:off x="11805722" y="2338218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49</xdr:row>
      <xdr:rowOff>184727</xdr:rowOff>
    </xdr:from>
    <xdr:to>
      <xdr:col>9</xdr:col>
      <xdr:colOff>877455</xdr:colOff>
      <xdr:row>49</xdr:row>
      <xdr:rowOff>334818</xdr:rowOff>
    </xdr:to>
    <xdr:sp macro="" textlink="">
      <xdr:nvSpPr>
        <xdr:cNvPr id="266" name="Isosceles Triangle 265">
          <a:extLst>
            <a:ext uri="{FF2B5EF4-FFF2-40B4-BE49-F238E27FC236}">
              <a16:creationId xmlns:a16="http://schemas.microsoft.com/office/drawing/2014/main" id="{9CA62A6B-16D8-416E-8895-BF58056C47F9}"/>
            </a:ext>
          </a:extLst>
        </xdr:cNvPr>
        <xdr:cNvSpPr/>
      </xdr:nvSpPr>
      <xdr:spPr>
        <a:xfrm rot="10800000">
          <a:off x="11805722" y="2684384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55</xdr:row>
      <xdr:rowOff>184727</xdr:rowOff>
    </xdr:from>
    <xdr:to>
      <xdr:col>9</xdr:col>
      <xdr:colOff>877455</xdr:colOff>
      <xdr:row>55</xdr:row>
      <xdr:rowOff>334818</xdr:rowOff>
    </xdr:to>
    <xdr:sp macro="" textlink="">
      <xdr:nvSpPr>
        <xdr:cNvPr id="267" name="Isosceles Triangle 266">
          <a:extLst>
            <a:ext uri="{FF2B5EF4-FFF2-40B4-BE49-F238E27FC236}">
              <a16:creationId xmlns:a16="http://schemas.microsoft.com/office/drawing/2014/main" id="{C646FCBC-3531-4C66-8EE0-57549DF5181C}"/>
            </a:ext>
          </a:extLst>
        </xdr:cNvPr>
        <xdr:cNvSpPr/>
      </xdr:nvSpPr>
      <xdr:spPr>
        <a:xfrm rot="10800000">
          <a:off x="11805722" y="3038169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61</xdr:row>
      <xdr:rowOff>184727</xdr:rowOff>
    </xdr:from>
    <xdr:to>
      <xdr:col>9</xdr:col>
      <xdr:colOff>877455</xdr:colOff>
      <xdr:row>61</xdr:row>
      <xdr:rowOff>334818</xdr:rowOff>
    </xdr:to>
    <xdr:sp macro="" textlink="">
      <xdr:nvSpPr>
        <xdr:cNvPr id="268" name="Isosceles Triangle 267">
          <a:extLst>
            <a:ext uri="{FF2B5EF4-FFF2-40B4-BE49-F238E27FC236}">
              <a16:creationId xmlns:a16="http://schemas.microsoft.com/office/drawing/2014/main" id="{4C1FB57A-4583-4319-BE46-75824FC3118E}"/>
            </a:ext>
          </a:extLst>
        </xdr:cNvPr>
        <xdr:cNvSpPr/>
      </xdr:nvSpPr>
      <xdr:spPr>
        <a:xfrm rot="10800000">
          <a:off x="11805722" y="33843356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67</xdr:row>
      <xdr:rowOff>184727</xdr:rowOff>
    </xdr:from>
    <xdr:to>
      <xdr:col>9</xdr:col>
      <xdr:colOff>877455</xdr:colOff>
      <xdr:row>67</xdr:row>
      <xdr:rowOff>334818</xdr:rowOff>
    </xdr:to>
    <xdr:sp macro="" textlink="">
      <xdr:nvSpPr>
        <xdr:cNvPr id="269" name="Isosceles Triangle 268">
          <a:extLst>
            <a:ext uri="{FF2B5EF4-FFF2-40B4-BE49-F238E27FC236}">
              <a16:creationId xmlns:a16="http://schemas.microsoft.com/office/drawing/2014/main" id="{BEECC684-BAA9-4C64-BCC0-64CA76AFE433}"/>
            </a:ext>
          </a:extLst>
        </xdr:cNvPr>
        <xdr:cNvSpPr/>
      </xdr:nvSpPr>
      <xdr:spPr>
        <a:xfrm rot="10800000">
          <a:off x="11805722" y="3730501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73</xdr:row>
      <xdr:rowOff>184727</xdr:rowOff>
    </xdr:from>
    <xdr:to>
      <xdr:col>9</xdr:col>
      <xdr:colOff>877455</xdr:colOff>
      <xdr:row>73</xdr:row>
      <xdr:rowOff>334818</xdr:rowOff>
    </xdr:to>
    <xdr:sp macro="" textlink="">
      <xdr:nvSpPr>
        <xdr:cNvPr id="270" name="Isosceles Triangle 269">
          <a:extLst>
            <a:ext uri="{FF2B5EF4-FFF2-40B4-BE49-F238E27FC236}">
              <a16:creationId xmlns:a16="http://schemas.microsoft.com/office/drawing/2014/main" id="{3F45DE4E-630A-4105-BE82-D228163EEF9E}"/>
            </a:ext>
          </a:extLst>
        </xdr:cNvPr>
        <xdr:cNvSpPr/>
      </xdr:nvSpPr>
      <xdr:spPr>
        <a:xfrm rot="10800000">
          <a:off x="11805722" y="4076667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79</xdr:row>
      <xdr:rowOff>184727</xdr:rowOff>
    </xdr:from>
    <xdr:to>
      <xdr:col>9</xdr:col>
      <xdr:colOff>877455</xdr:colOff>
      <xdr:row>79</xdr:row>
      <xdr:rowOff>334818</xdr:rowOff>
    </xdr:to>
    <xdr:sp macro="" textlink="">
      <xdr:nvSpPr>
        <xdr:cNvPr id="271" name="Isosceles Triangle 270">
          <a:extLst>
            <a:ext uri="{FF2B5EF4-FFF2-40B4-BE49-F238E27FC236}">
              <a16:creationId xmlns:a16="http://schemas.microsoft.com/office/drawing/2014/main" id="{615C148A-1484-4342-8E44-29F5B8283D0F}"/>
            </a:ext>
          </a:extLst>
        </xdr:cNvPr>
        <xdr:cNvSpPr/>
      </xdr:nvSpPr>
      <xdr:spPr>
        <a:xfrm rot="10800000">
          <a:off x="11805722" y="4422832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85</xdr:row>
      <xdr:rowOff>184727</xdr:rowOff>
    </xdr:from>
    <xdr:to>
      <xdr:col>9</xdr:col>
      <xdr:colOff>877455</xdr:colOff>
      <xdr:row>85</xdr:row>
      <xdr:rowOff>334818</xdr:rowOff>
    </xdr:to>
    <xdr:sp macro="" textlink="">
      <xdr:nvSpPr>
        <xdr:cNvPr id="272" name="Isosceles Triangle 271">
          <a:extLst>
            <a:ext uri="{FF2B5EF4-FFF2-40B4-BE49-F238E27FC236}">
              <a16:creationId xmlns:a16="http://schemas.microsoft.com/office/drawing/2014/main" id="{839CFA7C-4F55-4FE3-BC23-7A5B2537E6A6}"/>
            </a:ext>
          </a:extLst>
        </xdr:cNvPr>
        <xdr:cNvSpPr/>
      </xdr:nvSpPr>
      <xdr:spPr>
        <a:xfrm rot="10800000">
          <a:off x="11805722" y="4768998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91</xdr:row>
      <xdr:rowOff>184727</xdr:rowOff>
    </xdr:from>
    <xdr:to>
      <xdr:col>9</xdr:col>
      <xdr:colOff>877455</xdr:colOff>
      <xdr:row>91</xdr:row>
      <xdr:rowOff>334818</xdr:rowOff>
    </xdr:to>
    <xdr:sp macro="" textlink="">
      <xdr:nvSpPr>
        <xdr:cNvPr id="273" name="Isosceles Triangle 272">
          <a:extLst>
            <a:ext uri="{FF2B5EF4-FFF2-40B4-BE49-F238E27FC236}">
              <a16:creationId xmlns:a16="http://schemas.microsoft.com/office/drawing/2014/main" id="{0685EE80-8134-4CD8-82B9-742058DF6A56}"/>
            </a:ext>
          </a:extLst>
        </xdr:cNvPr>
        <xdr:cNvSpPr/>
      </xdr:nvSpPr>
      <xdr:spPr>
        <a:xfrm rot="10800000">
          <a:off x="11805722" y="5115164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97</xdr:row>
      <xdr:rowOff>184727</xdr:rowOff>
    </xdr:from>
    <xdr:to>
      <xdr:col>9</xdr:col>
      <xdr:colOff>877455</xdr:colOff>
      <xdr:row>97</xdr:row>
      <xdr:rowOff>334818</xdr:rowOff>
    </xdr:to>
    <xdr:sp macro="" textlink="">
      <xdr:nvSpPr>
        <xdr:cNvPr id="274" name="Isosceles Triangle 273">
          <a:extLst>
            <a:ext uri="{FF2B5EF4-FFF2-40B4-BE49-F238E27FC236}">
              <a16:creationId xmlns:a16="http://schemas.microsoft.com/office/drawing/2014/main" id="{0618969C-E58C-4A57-8813-35AEE086AD34}"/>
            </a:ext>
          </a:extLst>
        </xdr:cNvPr>
        <xdr:cNvSpPr/>
      </xdr:nvSpPr>
      <xdr:spPr>
        <a:xfrm rot="10800000">
          <a:off x="11805722" y="5461329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103</xdr:row>
      <xdr:rowOff>184727</xdr:rowOff>
    </xdr:from>
    <xdr:to>
      <xdr:col>9</xdr:col>
      <xdr:colOff>877455</xdr:colOff>
      <xdr:row>103</xdr:row>
      <xdr:rowOff>334818</xdr:rowOff>
    </xdr:to>
    <xdr:sp macro="" textlink="">
      <xdr:nvSpPr>
        <xdr:cNvPr id="275" name="Isosceles Triangle 274">
          <a:extLst>
            <a:ext uri="{FF2B5EF4-FFF2-40B4-BE49-F238E27FC236}">
              <a16:creationId xmlns:a16="http://schemas.microsoft.com/office/drawing/2014/main" id="{F417F54E-A9A0-4D84-9D39-48F577F74048}"/>
            </a:ext>
          </a:extLst>
        </xdr:cNvPr>
        <xdr:cNvSpPr/>
      </xdr:nvSpPr>
      <xdr:spPr>
        <a:xfrm rot="10800000">
          <a:off x="11805722" y="58074956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109</xdr:row>
      <xdr:rowOff>184727</xdr:rowOff>
    </xdr:from>
    <xdr:to>
      <xdr:col>9</xdr:col>
      <xdr:colOff>877455</xdr:colOff>
      <xdr:row>109</xdr:row>
      <xdr:rowOff>334818</xdr:rowOff>
    </xdr:to>
    <xdr:sp macro="" textlink="">
      <xdr:nvSpPr>
        <xdr:cNvPr id="276" name="Isosceles Triangle 275">
          <a:extLst>
            <a:ext uri="{FF2B5EF4-FFF2-40B4-BE49-F238E27FC236}">
              <a16:creationId xmlns:a16="http://schemas.microsoft.com/office/drawing/2014/main" id="{4EF0F2DF-EB28-457F-B883-731DC7F77BF9}"/>
            </a:ext>
          </a:extLst>
        </xdr:cNvPr>
        <xdr:cNvSpPr/>
      </xdr:nvSpPr>
      <xdr:spPr>
        <a:xfrm rot="10800000">
          <a:off x="11805722" y="6153661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121</xdr:row>
      <xdr:rowOff>184727</xdr:rowOff>
    </xdr:from>
    <xdr:to>
      <xdr:col>9</xdr:col>
      <xdr:colOff>877455</xdr:colOff>
      <xdr:row>121</xdr:row>
      <xdr:rowOff>334818</xdr:rowOff>
    </xdr:to>
    <xdr:sp macro="" textlink="">
      <xdr:nvSpPr>
        <xdr:cNvPr id="277" name="Isosceles Triangle 276">
          <a:extLst>
            <a:ext uri="{FF2B5EF4-FFF2-40B4-BE49-F238E27FC236}">
              <a16:creationId xmlns:a16="http://schemas.microsoft.com/office/drawing/2014/main" id="{F807AF9D-698E-4A45-8F5A-4B029B3ABFB6}"/>
            </a:ext>
          </a:extLst>
        </xdr:cNvPr>
        <xdr:cNvSpPr/>
      </xdr:nvSpPr>
      <xdr:spPr>
        <a:xfrm rot="10800000">
          <a:off x="11805722" y="6845992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115</xdr:row>
      <xdr:rowOff>184727</xdr:rowOff>
    </xdr:from>
    <xdr:to>
      <xdr:col>9</xdr:col>
      <xdr:colOff>877455</xdr:colOff>
      <xdr:row>115</xdr:row>
      <xdr:rowOff>334818</xdr:rowOff>
    </xdr:to>
    <xdr:sp macro="" textlink="">
      <xdr:nvSpPr>
        <xdr:cNvPr id="278" name="Isosceles Triangle 277">
          <a:extLst>
            <a:ext uri="{FF2B5EF4-FFF2-40B4-BE49-F238E27FC236}">
              <a16:creationId xmlns:a16="http://schemas.microsoft.com/office/drawing/2014/main" id="{7E38FA41-A4FB-462E-832E-EE92AAF7F2ED}"/>
            </a:ext>
          </a:extLst>
        </xdr:cNvPr>
        <xdr:cNvSpPr/>
      </xdr:nvSpPr>
      <xdr:spPr>
        <a:xfrm rot="10800000">
          <a:off x="11805722" y="6499827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127</xdr:row>
      <xdr:rowOff>184727</xdr:rowOff>
    </xdr:from>
    <xdr:to>
      <xdr:col>9</xdr:col>
      <xdr:colOff>877455</xdr:colOff>
      <xdr:row>127</xdr:row>
      <xdr:rowOff>334818</xdr:rowOff>
    </xdr:to>
    <xdr:sp macro="" textlink="">
      <xdr:nvSpPr>
        <xdr:cNvPr id="279" name="Isosceles Triangle 278">
          <a:extLst>
            <a:ext uri="{FF2B5EF4-FFF2-40B4-BE49-F238E27FC236}">
              <a16:creationId xmlns:a16="http://schemas.microsoft.com/office/drawing/2014/main" id="{DC016F0D-2070-4825-9E0B-FE0AE01065B5}"/>
            </a:ext>
          </a:extLst>
        </xdr:cNvPr>
        <xdr:cNvSpPr/>
      </xdr:nvSpPr>
      <xdr:spPr>
        <a:xfrm rot="10800000">
          <a:off x="11805722" y="7199778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133</xdr:row>
      <xdr:rowOff>184727</xdr:rowOff>
    </xdr:from>
    <xdr:to>
      <xdr:col>9</xdr:col>
      <xdr:colOff>877455</xdr:colOff>
      <xdr:row>133</xdr:row>
      <xdr:rowOff>334818</xdr:rowOff>
    </xdr:to>
    <xdr:sp macro="" textlink="">
      <xdr:nvSpPr>
        <xdr:cNvPr id="280" name="Isosceles Triangle 279">
          <a:extLst>
            <a:ext uri="{FF2B5EF4-FFF2-40B4-BE49-F238E27FC236}">
              <a16:creationId xmlns:a16="http://schemas.microsoft.com/office/drawing/2014/main" id="{D2BBC3F6-2431-47B1-AC54-895CE37D17E3}"/>
            </a:ext>
          </a:extLst>
        </xdr:cNvPr>
        <xdr:cNvSpPr/>
      </xdr:nvSpPr>
      <xdr:spPr>
        <a:xfrm rot="10800000">
          <a:off x="11805722" y="7545944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139</xdr:row>
      <xdr:rowOff>184727</xdr:rowOff>
    </xdr:from>
    <xdr:to>
      <xdr:col>9</xdr:col>
      <xdr:colOff>877455</xdr:colOff>
      <xdr:row>139</xdr:row>
      <xdr:rowOff>334818</xdr:rowOff>
    </xdr:to>
    <xdr:sp macro="" textlink="">
      <xdr:nvSpPr>
        <xdr:cNvPr id="281" name="Isosceles Triangle 280">
          <a:extLst>
            <a:ext uri="{FF2B5EF4-FFF2-40B4-BE49-F238E27FC236}">
              <a16:creationId xmlns:a16="http://schemas.microsoft.com/office/drawing/2014/main" id="{3340B9C4-1B06-4EF2-8937-A3EB3D3DE3D6}"/>
            </a:ext>
          </a:extLst>
        </xdr:cNvPr>
        <xdr:cNvSpPr/>
      </xdr:nvSpPr>
      <xdr:spPr>
        <a:xfrm rot="10800000">
          <a:off x="11805722" y="7892109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145</xdr:row>
      <xdr:rowOff>184727</xdr:rowOff>
    </xdr:from>
    <xdr:to>
      <xdr:col>9</xdr:col>
      <xdr:colOff>877455</xdr:colOff>
      <xdr:row>145</xdr:row>
      <xdr:rowOff>334818</xdr:rowOff>
    </xdr:to>
    <xdr:sp macro="" textlink="">
      <xdr:nvSpPr>
        <xdr:cNvPr id="282" name="Isosceles Triangle 281">
          <a:extLst>
            <a:ext uri="{FF2B5EF4-FFF2-40B4-BE49-F238E27FC236}">
              <a16:creationId xmlns:a16="http://schemas.microsoft.com/office/drawing/2014/main" id="{97EE764F-19B1-414F-B3AE-251944470C33}"/>
            </a:ext>
          </a:extLst>
        </xdr:cNvPr>
        <xdr:cNvSpPr/>
      </xdr:nvSpPr>
      <xdr:spPr>
        <a:xfrm rot="10800000">
          <a:off x="11805722" y="82382756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151</xdr:row>
      <xdr:rowOff>184727</xdr:rowOff>
    </xdr:from>
    <xdr:to>
      <xdr:col>9</xdr:col>
      <xdr:colOff>877455</xdr:colOff>
      <xdr:row>151</xdr:row>
      <xdr:rowOff>334818</xdr:rowOff>
    </xdr:to>
    <xdr:sp macro="" textlink="">
      <xdr:nvSpPr>
        <xdr:cNvPr id="283" name="Isosceles Triangle 282">
          <a:extLst>
            <a:ext uri="{FF2B5EF4-FFF2-40B4-BE49-F238E27FC236}">
              <a16:creationId xmlns:a16="http://schemas.microsoft.com/office/drawing/2014/main" id="{7A8B3902-9E12-4658-A92D-F18F08864525}"/>
            </a:ext>
          </a:extLst>
        </xdr:cNvPr>
        <xdr:cNvSpPr/>
      </xdr:nvSpPr>
      <xdr:spPr>
        <a:xfrm rot="10800000">
          <a:off x="11805722" y="8584441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157</xdr:row>
      <xdr:rowOff>184727</xdr:rowOff>
    </xdr:from>
    <xdr:to>
      <xdr:col>9</xdr:col>
      <xdr:colOff>877455</xdr:colOff>
      <xdr:row>157</xdr:row>
      <xdr:rowOff>334818</xdr:rowOff>
    </xdr:to>
    <xdr:sp macro="" textlink="">
      <xdr:nvSpPr>
        <xdr:cNvPr id="284" name="Isosceles Triangle 283">
          <a:extLst>
            <a:ext uri="{FF2B5EF4-FFF2-40B4-BE49-F238E27FC236}">
              <a16:creationId xmlns:a16="http://schemas.microsoft.com/office/drawing/2014/main" id="{29F419C9-A5B2-46F1-8A89-FA5E53583171}"/>
            </a:ext>
          </a:extLst>
        </xdr:cNvPr>
        <xdr:cNvSpPr/>
      </xdr:nvSpPr>
      <xdr:spPr>
        <a:xfrm rot="10800000">
          <a:off x="11805722" y="8930607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169</xdr:row>
      <xdr:rowOff>184727</xdr:rowOff>
    </xdr:from>
    <xdr:to>
      <xdr:col>9</xdr:col>
      <xdr:colOff>877455</xdr:colOff>
      <xdr:row>169</xdr:row>
      <xdr:rowOff>334818</xdr:rowOff>
    </xdr:to>
    <xdr:sp macro="" textlink="">
      <xdr:nvSpPr>
        <xdr:cNvPr id="287" name="Isosceles Triangle 286">
          <a:extLst>
            <a:ext uri="{FF2B5EF4-FFF2-40B4-BE49-F238E27FC236}">
              <a16:creationId xmlns:a16="http://schemas.microsoft.com/office/drawing/2014/main" id="{32537A93-42F0-43DE-92DD-CC5AFA53F0E1}"/>
            </a:ext>
          </a:extLst>
        </xdr:cNvPr>
        <xdr:cNvSpPr/>
      </xdr:nvSpPr>
      <xdr:spPr>
        <a:xfrm rot="10800000">
          <a:off x="11805722" y="9622938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170</xdr:row>
      <xdr:rowOff>196272</xdr:rowOff>
    </xdr:from>
    <xdr:to>
      <xdr:col>8</xdr:col>
      <xdr:colOff>2320636</xdr:colOff>
      <xdr:row>170</xdr:row>
      <xdr:rowOff>346363</xdr:rowOff>
    </xdr:to>
    <xdr:sp macro="" textlink="">
      <xdr:nvSpPr>
        <xdr:cNvPr id="298" name="Isosceles Triangle 297">
          <a:extLst>
            <a:ext uri="{FF2B5EF4-FFF2-40B4-BE49-F238E27FC236}">
              <a16:creationId xmlns:a16="http://schemas.microsoft.com/office/drawing/2014/main" id="{613D10B5-B05C-4AD8-B638-5F05BB4A900A}"/>
            </a:ext>
          </a:extLst>
        </xdr:cNvPr>
        <xdr:cNvSpPr/>
      </xdr:nvSpPr>
      <xdr:spPr>
        <a:xfrm rot="10800000">
          <a:off x="10788731" y="96817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170</xdr:row>
      <xdr:rowOff>196272</xdr:rowOff>
    </xdr:from>
    <xdr:to>
      <xdr:col>10</xdr:col>
      <xdr:colOff>2320636</xdr:colOff>
      <xdr:row>170</xdr:row>
      <xdr:rowOff>346363</xdr:rowOff>
    </xdr:to>
    <xdr:sp macro="" textlink="">
      <xdr:nvSpPr>
        <xdr:cNvPr id="299" name="Isosceles Triangle 298">
          <a:extLst>
            <a:ext uri="{FF2B5EF4-FFF2-40B4-BE49-F238E27FC236}">
              <a16:creationId xmlns:a16="http://schemas.microsoft.com/office/drawing/2014/main" id="{89FD6D69-E342-40E3-ACF5-F3FA8846D225}"/>
            </a:ext>
          </a:extLst>
        </xdr:cNvPr>
        <xdr:cNvSpPr/>
      </xdr:nvSpPr>
      <xdr:spPr>
        <a:xfrm rot="10800000">
          <a:off x="14250388" y="96817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171</xdr:row>
      <xdr:rowOff>196272</xdr:rowOff>
    </xdr:from>
    <xdr:to>
      <xdr:col>8</xdr:col>
      <xdr:colOff>2320636</xdr:colOff>
      <xdr:row>171</xdr:row>
      <xdr:rowOff>346363</xdr:rowOff>
    </xdr:to>
    <xdr:sp macro="" textlink="">
      <xdr:nvSpPr>
        <xdr:cNvPr id="300" name="Isosceles Triangle 299">
          <a:extLst>
            <a:ext uri="{FF2B5EF4-FFF2-40B4-BE49-F238E27FC236}">
              <a16:creationId xmlns:a16="http://schemas.microsoft.com/office/drawing/2014/main" id="{6ACF70CC-482B-4359-9527-DD34794BDC27}"/>
            </a:ext>
          </a:extLst>
        </xdr:cNvPr>
        <xdr:cNvSpPr/>
      </xdr:nvSpPr>
      <xdr:spPr>
        <a:xfrm rot="10800000">
          <a:off x="10788731" y="97394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171</xdr:row>
      <xdr:rowOff>196272</xdr:rowOff>
    </xdr:from>
    <xdr:to>
      <xdr:col>10</xdr:col>
      <xdr:colOff>2320636</xdr:colOff>
      <xdr:row>171</xdr:row>
      <xdr:rowOff>346363</xdr:rowOff>
    </xdr:to>
    <xdr:sp macro="" textlink="">
      <xdr:nvSpPr>
        <xdr:cNvPr id="301" name="Isosceles Triangle 300">
          <a:extLst>
            <a:ext uri="{FF2B5EF4-FFF2-40B4-BE49-F238E27FC236}">
              <a16:creationId xmlns:a16="http://schemas.microsoft.com/office/drawing/2014/main" id="{4E40BAFC-34C6-4DF6-849A-541F91DEC695}"/>
            </a:ext>
          </a:extLst>
        </xdr:cNvPr>
        <xdr:cNvSpPr/>
      </xdr:nvSpPr>
      <xdr:spPr>
        <a:xfrm rot="10800000">
          <a:off x="14250388" y="97394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172</xdr:row>
      <xdr:rowOff>196272</xdr:rowOff>
    </xdr:from>
    <xdr:to>
      <xdr:col>8</xdr:col>
      <xdr:colOff>2320636</xdr:colOff>
      <xdr:row>172</xdr:row>
      <xdr:rowOff>346363</xdr:rowOff>
    </xdr:to>
    <xdr:sp macro="" textlink="">
      <xdr:nvSpPr>
        <xdr:cNvPr id="302" name="Isosceles Triangle 301">
          <a:extLst>
            <a:ext uri="{FF2B5EF4-FFF2-40B4-BE49-F238E27FC236}">
              <a16:creationId xmlns:a16="http://schemas.microsoft.com/office/drawing/2014/main" id="{53D1EECA-2D8F-4B00-B035-9A94DFAAA7FF}"/>
            </a:ext>
          </a:extLst>
        </xdr:cNvPr>
        <xdr:cNvSpPr/>
      </xdr:nvSpPr>
      <xdr:spPr>
        <a:xfrm rot="10800000">
          <a:off x="10788731" y="97971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172</xdr:row>
      <xdr:rowOff>196272</xdr:rowOff>
    </xdr:from>
    <xdr:to>
      <xdr:col>10</xdr:col>
      <xdr:colOff>2320636</xdr:colOff>
      <xdr:row>172</xdr:row>
      <xdr:rowOff>346363</xdr:rowOff>
    </xdr:to>
    <xdr:sp macro="" textlink="">
      <xdr:nvSpPr>
        <xdr:cNvPr id="303" name="Isosceles Triangle 302">
          <a:extLst>
            <a:ext uri="{FF2B5EF4-FFF2-40B4-BE49-F238E27FC236}">
              <a16:creationId xmlns:a16="http://schemas.microsoft.com/office/drawing/2014/main" id="{674A3574-0C78-4F70-8F88-768B1BAFCA65}"/>
            </a:ext>
          </a:extLst>
        </xdr:cNvPr>
        <xdr:cNvSpPr/>
      </xdr:nvSpPr>
      <xdr:spPr>
        <a:xfrm rot="10800000">
          <a:off x="14250388" y="97971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173</xdr:row>
      <xdr:rowOff>196272</xdr:rowOff>
    </xdr:from>
    <xdr:to>
      <xdr:col>8</xdr:col>
      <xdr:colOff>2320636</xdr:colOff>
      <xdr:row>173</xdr:row>
      <xdr:rowOff>346363</xdr:rowOff>
    </xdr:to>
    <xdr:sp macro="" textlink="">
      <xdr:nvSpPr>
        <xdr:cNvPr id="304" name="Isosceles Triangle 303">
          <a:extLst>
            <a:ext uri="{FF2B5EF4-FFF2-40B4-BE49-F238E27FC236}">
              <a16:creationId xmlns:a16="http://schemas.microsoft.com/office/drawing/2014/main" id="{DC019959-9D79-437A-A6B7-3369D0EFCC3F}"/>
            </a:ext>
          </a:extLst>
        </xdr:cNvPr>
        <xdr:cNvSpPr/>
      </xdr:nvSpPr>
      <xdr:spPr>
        <a:xfrm rot="10800000">
          <a:off x="10788731" y="98548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173</xdr:row>
      <xdr:rowOff>196272</xdr:rowOff>
    </xdr:from>
    <xdr:to>
      <xdr:col>10</xdr:col>
      <xdr:colOff>2320636</xdr:colOff>
      <xdr:row>173</xdr:row>
      <xdr:rowOff>346363</xdr:rowOff>
    </xdr:to>
    <xdr:sp macro="" textlink="">
      <xdr:nvSpPr>
        <xdr:cNvPr id="305" name="Isosceles Triangle 304">
          <a:extLst>
            <a:ext uri="{FF2B5EF4-FFF2-40B4-BE49-F238E27FC236}">
              <a16:creationId xmlns:a16="http://schemas.microsoft.com/office/drawing/2014/main" id="{A4A78959-372A-4A94-AAB3-E66F38279C44}"/>
            </a:ext>
          </a:extLst>
        </xdr:cNvPr>
        <xdr:cNvSpPr/>
      </xdr:nvSpPr>
      <xdr:spPr>
        <a:xfrm rot="10800000">
          <a:off x="14250388" y="98548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174</xdr:row>
      <xdr:rowOff>196272</xdr:rowOff>
    </xdr:from>
    <xdr:to>
      <xdr:col>8</xdr:col>
      <xdr:colOff>2320636</xdr:colOff>
      <xdr:row>174</xdr:row>
      <xdr:rowOff>346363</xdr:rowOff>
    </xdr:to>
    <xdr:sp macro="" textlink="">
      <xdr:nvSpPr>
        <xdr:cNvPr id="306" name="Isosceles Triangle 305">
          <a:extLst>
            <a:ext uri="{FF2B5EF4-FFF2-40B4-BE49-F238E27FC236}">
              <a16:creationId xmlns:a16="http://schemas.microsoft.com/office/drawing/2014/main" id="{32FC1DC9-7E44-43CD-9F7A-3EF2E65E7A6F}"/>
            </a:ext>
          </a:extLst>
        </xdr:cNvPr>
        <xdr:cNvSpPr/>
      </xdr:nvSpPr>
      <xdr:spPr>
        <a:xfrm rot="10800000">
          <a:off x="10788731" y="99125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174</xdr:row>
      <xdr:rowOff>196272</xdr:rowOff>
    </xdr:from>
    <xdr:to>
      <xdr:col>10</xdr:col>
      <xdr:colOff>2320636</xdr:colOff>
      <xdr:row>174</xdr:row>
      <xdr:rowOff>346363</xdr:rowOff>
    </xdr:to>
    <xdr:sp macro="" textlink="">
      <xdr:nvSpPr>
        <xdr:cNvPr id="307" name="Isosceles Triangle 306">
          <a:extLst>
            <a:ext uri="{FF2B5EF4-FFF2-40B4-BE49-F238E27FC236}">
              <a16:creationId xmlns:a16="http://schemas.microsoft.com/office/drawing/2014/main" id="{065CB963-AAD3-461F-9678-8B4A9DF12692}"/>
            </a:ext>
          </a:extLst>
        </xdr:cNvPr>
        <xdr:cNvSpPr/>
      </xdr:nvSpPr>
      <xdr:spPr>
        <a:xfrm rot="10800000">
          <a:off x="14250388" y="99125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176</xdr:row>
      <xdr:rowOff>0</xdr:rowOff>
    </xdr:from>
    <xdr:to>
      <xdr:col>8</xdr:col>
      <xdr:colOff>2320636</xdr:colOff>
      <xdr:row>176</xdr:row>
      <xdr:rowOff>0</xdr:rowOff>
    </xdr:to>
    <xdr:sp macro="" textlink="">
      <xdr:nvSpPr>
        <xdr:cNvPr id="314" name="Isosceles Triangle 313">
          <a:extLst>
            <a:ext uri="{FF2B5EF4-FFF2-40B4-BE49-F238E27FC236}">
              <a16:creationId xmlns:a16="http://schemas.microsoft.com/office/drawing/2014/main" id="{C58889AF-ABAF-4573-9013-4E8AE70734F7}"/>
            </a:ext>
          </a:extLst>
        </xdr:cNvPr>
        <xdr:cNvSpPr/>
      </xdr:nvSpPr>
      <xdr:spPr>
        <a:xfrm rot="10800000">
          <a:off x="10788731" y="100083257"/>
          <a:ext cx="207819" cy="0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176</xdr:row>
      <xdr:rowOff>0</xdr:rowOff>
    </xdr:from>
    <xdr:to>
      <xdr:col>10</xdr:col>
      <xdr:colOff>2320636</xdr:colOff>
      <xdr:row>176</xdr:row>
      <xdr:rowOff>0</xdr:rowOff>
    </xdr:to>
    <xdr:sp macro="" textlink="">
      <xdr:nvSpPr>
        <xdr:cNvPr id="315" name="Isosceles Triangle 314">
          <a:extLst>
            <a:ext uri="{FF2B5EF4-FFF2-40B4-BE49-F238E27FC236}">
              <a16:creationId xmlns:a16="http://schemas.microsoft.com/office/drawing/2014/main" id="{50B43F9D-FCBF-4A29-9522-D398D8489A2C}"/>
            </a:ext>
          </a:extLst>
        </xdr:cNvPr>
        <xdr:cNvSpPr/>
      </xdr:nvSpPr>
      <xdr:spPr>
        <a:xfrm rot="10800000">
          <a:off x="14250388" y="100083257"/>
          <a:ext cx="207819" cy="0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163</xdr:row>
      <xdr:rowOff>184727</xdr:rowOff>
    </xdr:from>
    <xdr:to>
      <xdr:col>9</xdr:col>
      <xdr:colOff>877455</xdr:colOff>
      <xdr:row>163</xdr:row>
      <xdr:rowOff>334818</xdr:rowOff>
    </xdr:to>
    <xdr:sp macro="" textlink="">
      <xdr:nvSpPr>
        <xdr:cNvPr id="317" name="Isosceles Triangle 316">
          <a:extLst>
            <a:ext uri="{FF2B5EF4-FFF2-40B4-BE49-F238E27FC236}">
              <a16:creationId xmlns:a16="http://schemas.microsoft.com/office/drawing/2014/main" id="{E4174EE5-E9EA-4330-8957-BB3128E80475}"/>
            </a:ext>
          </a:extLst>
        </xdr:cNvPr>
        <xdr:cNvSpPr/>
      </xdr:nvSpPr>
      <xdr:spPr>
        <a:xfrm rot="10800000">
          <a:off x="11805722" y="9276772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164</xdr:row>
      <xdr:rowOff>196272</xdr:rowOff>
    </xdr:from>
    <xdr:to>
      <xdr:col>8</xdr:col>
      <xdr:colOff>2320636</xdr:colOff>
      <xdr:row>164</xdr:row>
      <xdr:rowOff>346363</xdr:rowOff>
    </xdr:to>
    <xdr:sp macro="" textlink="">
      <xdr:nvSpPr>
        <xdr:cNvPr id="318" name="Isosceles Triangle 317">
          <a:extLst>
            <a:ext uri="{FF2B5EF4-FFF2-40B4-BE49-F238E27FC236}">
              <a16:creationId xmlns:a16="http://schemas.microsoft.com/office/drawing/2014/main" id="{C8D0CF9D-24BB-43DF-BD99-E3E2FFBEB5AB}"/>
            </a:ext>
          </a:extLst>
        </xdr:cNvPr>
        <xdr:cNvSpPr/>
      </xdr:nvSpPr>
      <xdr:spPr>
        <a:xfrm rot="10800000">
          <a:off x="10788731" y="933562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165</xdr:row>
      <xdr:rowOff>196272</xdr:rowOff>
    </xdr:from>
    <xdr:to>
      <xdr:col>8</xdr:col>
      <xdr:colOff>2320636</xdr:colOff>
      <xdr:row>165</xdr:row>
      <xdr:rowOff>346363</xdr:rowOff>
    </xdr:to>
    <xdr:sp macro="" textlink="">
      <xdr:nvSpPr>
        <xdr:cNvPr id="319" name="Isosceles Triangle 318">
          <a:extLst>
            <a:ext uri="{FF2B5EF4-FFF2-40B4-BE49-F238E27FC236}">
              <a16:creationId xmlns:a16="http://schemas.microsoft.com/office/drawing/2014/main" id="{9F6B9CC0-FED4-4C4B-AF55-0D96B02B04D8}"/>
            </a:ext>
          </a:extLst>
        </xdr:cNvPr>
        <xdr:cNvSpPr/>
      </xdr:nvSpPr>
      <xdr:spPr>
        <a:xfrm rot="10800000">
          <a:off x="10788731" y="939331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166</xdr:row>
      <xdr:rowOff>196272</xdr:rowOff>
    </xdr:from>
    <xdr:to>
      <xdr:col>8</xdr:col>
      <xdr:colOff>2320636</xdr:colOff>
      <xdr:row>166</xdr:row>
      <xdr:rowOff>346363</xdr:rowOff>
    </xdr:to>
    <xdr:sp macro="" textlink="">
      <xdr:nvSpPr>
        <xdr:cNvPr id="320" name="Isosceles Triangle 319">
          <a:extLst>
            <a:ext uri="{FF2B5EF4-FFF2-40B4-BE49-F238E27FC236}">
              <a16:creationId xmlns:a16="http://schemas.microsoft.com/office/drawing/2014/main" id="{7D4FAF07-2DB5-4A22-B529-78E9C8D38162}"/>
            </a:ext>
          </a:extLst>
        </xdr:cNvPr>
        <xdr:cNvSpPr/>
      </xdr:nvSpPr>
      <xdr:spPr>
        <a:xfrm rot="10800000">
          <a:off x="10788731" y="94510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167</xdr:row>
      <xdr:rowOff>196272</xdr:rowOff>
    </xdr:from>
    <xdr:to>
      <xdr:col>8</xdr:col>
      <xdr:colOff>2320636</xdr:colOff>
      <xdr:row>167</xdr:row>
      <xdr:rowOff>346363</xdr:rowOff>
    </xdr:to>
    <xdr:sp macro="" textlink="">
      <xdr:nvSpPr>
        <xdr:cNvPr id="321" name="Isosceles Triangle 320">
          <a:extLst>
            <a:ext uri="{FF2B5EF4-FFF2-40B4-BE49-F238E27FC236}">
              <a16:creationId xmlns:a16="http://schemas.microsoft.com/office/drawing/2014/main" id="{DE2D2B58-0870-458F-B60B-39DCBB80292B}"/>
            </a:ext>
          </a:extLst>
        </xdr:cNvPr>
        <xdr:cNvSpPr/>
      </xdr:nvSpPr>
      <xdr:spPr>
        <a:xfrm rot="10800000">
          <a:off x="10788731" y="95087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168</xdr:row>
      <xdr:rowOff>196272</xdr:rowOff>
    </xdr:from>
    <xdr:to>
      <xdr:col>8</xdr:col>
      <xdr:colOff>2320636</xdr:colOff>
      <xdr:row>168</xdr:row>
      <xdr:rowOff>346363</xdr:rowOff>
    </xdr:to>
    <xdr:sp macro="" textlink="">
      <xdr:nvSpPr>
        <xdr:cNvPr id="322" name="Isosceles Triangle 321">
          <a:extLst>
            <a:ext uri="{FF2B5EF4-FFF2-40B4-BE49-F238E27FC236}">
              <a16:creationId xmlns:a16="http://schemas.microsoft.com/office/drawing/2014/main" id="{635DE212-7162-44B9-A4C7-EF78052E7236}"/>
            </a:ext>
          </a:extLst>
        </xdr:cNvPr>
        <xdr:cNvSpPr/>
      </xdr:nvSpPr>
      <xdr:spPr>
        <a:xfrm rot="10800000">
          <a:off x="10788731" y="95663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164</xdr:row>
      <xdr:rowOff>196272</xdr:rowOff>
    </xdr:from>
    <xdr:to>
      <xdr:col>10</xdr:col>
      <xdr:colOff>2320636</xdr:colOff>
      <xdr:row>164</xdr:row>
      <xdr:rowOff>346363</xdr:rowOff>
    </xdr:to>
    <xdr:sp macro="" textlink="">
      <xdr:nvSpPr>
        <xdr:cNvPr id="323" name="Isosceles Triangle 322">
          <a:extLst>
            <a:ext uri="{FF2B5EF4-FFF2-40B4-BE49-F238E27FC236}">
              <a16:creationId xmlns:a16="http://schemas.microsoft.com/office/drawing/2014/main" id="{C435082A-EC27-43CD-9AB6-FE09900F0FEC}"/>
            </a:ext>
          </a:extLst>
        </xdr:cNvPr>
        <xdr:cNvSpPr/>
      </xdr:nvSpPr>
      <xdr:spPr>
        <a:xfrm rot="10800000">
          <a:off x="14250388" y="933562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165</xdr:row>
      <xdr:rowOff>196272</xdr:rowOff>
    </xdr:from>
    <xdr:to>
      <xdr:col>10</xdr:col>
      <xdr:colOff>2320636</xdr:colOff>
      <xdr:row>165</xdr:row>
      <xdr:rowOff>346363</xdr:rowOff>
    </xdr:to>
    <xdr:sp macro="" textlink="">
      <xdr:nvSpPr>
        <xdr:cNvPr id="324" name="Isosceles Triangle 323">
          <a:extLst>
            <a:ext uri="{FF2B5EF4-FFF2-40B4-BE49-F238E27FC236}">
              <a16:creationId xmlns:a16="http://schemas.microsoft.com/office/drawing/2014/main" id="{69AD6911-6BF7-4580-948B-227E303FB633}"/>
            </a:ext>
          </a:extLst>
        </xdr:cNvPr>
        <xdr:cNvSpPr/>
      </xdr:nvSpPr>
      <xdr:spPr>
        <a:xfrm rot="10800000">
          <a:off x="14250388" y="939331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166</xdr:row>
      <xdr:rowOff>196272</xdr:rowOff>
    </xdr:from>
    <xdr:to>
      <xdr:col>10</xdr:col>
      <xdr:colOff>2320636</xdr:colOff>
      <xdr:row>166</xdr:row>
      <xdr:rowOff>346363</xdr:rowOff>
    </xdr:to>
    <xdr:sp macro="" textlink="">
      <xdr:nvSpPr>
        <xdr:cNvPr id="325" name="Isosceles Triangle 324">
          <a:extLst>
            <a:ext uri="{FF2B5EF4-FFF2-40B4-BE49-F238E27FC236}">
              <a16:creationId xmlns:a16="http://schemas.microsoft.com/office/drawing/2014/main" id="{BA145C09-D9A9-44CF-947F-37F9DEDDD40E}"/>
            </a:ext>
          </a:extLst>
        </xdr:cNvPr>
        <xdr:cNvSpPr/>
      </xdr:nvSpPr>
      <xdr:spPr>
        <a:xfrm rot="10800000">
          <a:off x="14250388" y="94510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167</xdr:row>
      <xdr:rowOff>196272</xdr:rowOff>
    </xdr:from>
    <xdr:to>
      <xdr:col>10</xdr:col>
      <xdr:colOff>2320636</xdr:colOff>
      <xdr:row>167</xdr:row>
      <xdr:rowOff>346363</xdr:rowOff>
    </xdr:to>
    <xdr:sp macro="" textlink="">
      <xdr:nvSpPr>
        <xdr:cNvPr id="326" name="Isosceles Triangle 325">
          <a:extLst>
            <a:ext uri="{FF2B5EF4-FFF2-40B4-BE49-F238E27FC236}">
              <a16:creationId xmlns:a16="http://schemas.microsoft.com/office/drawing/2014/main" id="{85D73CD7-F181-42C1-BE07-D09C4B18CECE}"/>
            </a:ext>
          </a:extLst>
        </xdr:cNvPr>
        <xdr:cNvSpPr/>
      </xdr:nvSpPr>
      <xdr:spPr>
        <a:xfrm rot="10800000">
          <a:off x="14250388" y="95087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168</xdr:row>
      <xdr:rowOff>196272</xdr:rowOff>
    </xdr:from>
    <xdr:to>
      <xdr:col>10</xdr:col>
      <xdr:colOff>2320636</xdr:colOff>
      <xdr:row>168</xdr:row>
      <xdr:rowOff>346363</xdr:rowOff>
    </xdr:to>
    <xdr:sp macro="" textlink="">
      <xdr:nvSpPr>
        <xdr:cNvPr id="327" name="Isosceles Triangle 326">
          <a:extLst>
            <a:ext uri="{FF2B5EF4-FFF2-40B4-BE49-F238E27FC236}">
              <a16:creationId xmlns:a16="http://schemas.microsoft.com/office/drawing/2014/main" id="{C4FC9596-1A78-4C4D-9419-BFE6BBCC3D45}"/>
            </a:ext>
          </a:extLst>
        </xdr:cNvPr>
        <xdr:cNvSpPr/>
      </xdr:nvSpPr>
      <xdr:spPr>
        <a:xfrm rot="10800000">
          <a:off x="14250388" y="95663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13</xdr:row>
      <xdr:rowOff>196274</xdr:rowOff>
    </xdr:from>
    <xdr:to>
      <xdr:col>9</xdr:col>
      <xdr:colOff>877456</xdr:colOff>
      <xdr:row>13</xdr:row>
      <xdr:rowOff>346365</xdr:rowOff>
    </xdr:to>
    <xdr:sp macro="" textlink="">
      <xdr:nvSpPr>
        <xdr:cNvPr id="328" name="Isosceles Triangle 327">
          <a:extLst>
            <a:ext uri="{FF2B5EF4-FFF2-40B4-BE49-F238E27FC236}">
              <a16:creationId xmlns:a16="http://schemas.microsoft.com/office/drawing/2014/main" id="{422132FE-4BAF-4F60-85C4-C06045EBDC20}"/>
            </a:ext>
          </a:extLst>
        </xdr:cNvPr>
        <xdr:cNvSpPr/>
      </xdr:nvSpPr>
      <xdr:spPr>
        <a:xfrm rot="10800000">
          <a:off x="11805723" y="6085445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19</xdr:row>
      <xdr:rowOff>196274</xdr:rowOff>
    </xdr:from>
    <xdr:to>
      <xdr:col>9</xdr:col>
      <xdr:colOff>877456</xdr:colOff>
      <xdr:row>19</xdr:row>
      <xdr:rowOff>346365</xdr:rowOff>
    </xdr:to>
    <xdr:sp macro="" textlink="">
      <xdr:nvSpPr>
        <xdr:cNvPr id="329" name="Isosceles Triangle 328">
          <a:extLst>
            <a:ext uri="{FF2B5EF4-FFF2-40B4-BE49-F238E27FC236}">
              <a16:creationId xmlns:a16="http://schemas.microsoft.com/office/drawing/2014/main" id="{B140F0F9-4844-43B8-94DB-BE020AE78A8A}"/>
            </a:ext>
          </a:extLst>
        </xdr:cNvPr>
        <xdr:cNvSpPr/>
      </xdr:nvSpPr>
      <xdr:spPr>
        <a:xfrm rot="10800000">
          <a:off x="11805723" y="954710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25</xdr:row>
      <xdr:rowOff>196274</xdr:rowOff>
    </xdr:from>
    <xdr:to>
      <xdr:col>9</xdr:col>
      <xdr:colOff>877456</xdr:colOff>
      <xdr:row>25</xdr:row>
      <xdr:rowOff>346365</xdr:rowOff>
    </xdr:to>
    <xdr:sp macro="" textlink="">
      <xdr:nvSpPr>
        <xdr:cNvPr id="330" name="Isosceles Triangle 329">
          <a:extLst>
            <a:ext uri="{FF2B5EF4-FFF2-40B4-BE49-F238E27FC236}">
              <a16:creationId xmlns:a16="http://schemas.microsoft.com/office/drawing/2014/main" id="{59CB01A8-F7C6-4B17-9413-2A24F5BE20DA}"/>
            </a:ext>
          </a:extLst>
        </xdr:cNvPr>
        <xdr:cNvSpPr/>
      </xdr:nvSpPr>
      <xdr:spPr>
        <a:xfrm rot="10800000">
          <a:off x="11805723" y="1300876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31</xdr:row>
      <xdr:rowOff>196274</xdr:rowOff>
    </xdr:from>
    <xdr:to>
      <xdr:col>9</xdr:col>
      <xdr:colOff>877456</xdr:colOff>
      <xdr:row>31</xdr:row>
      <xdr:rowOff>346365</xdr:rowOff>
    </xdr:to>
    <xdr:sp macro="" textlink="">
      <xdr:nvSpPr>
        <xdr:cNvPr id="331" name="Isosceles Triangle 330">
          <a:extLst>
            <a:ext uri="{FF2B5EF4-FFF2-40B4-BE49-F238E27FC236}">
              <a16:creationId xmlns:a16="http://schemas.microsoft.com/office/drawing/2014/main" id="{5DA6A465-209B-42DE-80A5-A932FEA19897}"/>
            </a:ext>
          </a:extLst>
        </xdr:cNvPr>
        <xdr:cNvSpPr/>
      </xdr:nvSpPr>
      <xdr:spPr>
        <a:xfrm rot="10800000">
          <a:off x="11805723" y="1647041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37</xdr:row>
      <xdr:rowOff>196274</xdr:rowOff>
    </xdr:from>
    <xdr:to>
      <xdr:col>9</xdr:col>
      <xdr:colOff>877456</xdr:colOff>
      <xdr:row>37</xdr:row>
      <xdr:rowOff>346365</xdr:rowOff>
    </xdr:to>
    <xdr:sp macro="" textlink="">
      <xdr:nvSpPr>
        <xdr:cNvPr id="332" name="Isosceles Triangle 331">
          <a:extLst>
            <a:ext uri="{FF2B5EF4-FFF2-40B4-BE49-F238E27FC236}">
              <a16:creationId xmlns:a16="http://schemas.microsoft.com/office/drawing/2014/main" id="{E4E60E2E-59B8-4977-816F-02DCB954699B}"/>
            </a:ext>
          </a:extLst>
        </xdr:cNvPr>
        <xdr:cNvSpPr/>
      </xdr:nvSpPr>
      <xdr:spPr>
        <a:xfrm rot="10800000">
          <a:off x="11805723" y="1993207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43</xdr:row>
      <xdr:rowOff>196274</xdr:rowOff>
    </xdr:from>
    <xdr:to>
      <xdr:col>9</xdr:col>
      <xdr:colOff>877456</xdr:colOff>
      <xdr:row>43</xdr:row>
      <xdr:rowOff>346365</xdr:rowOff>
    </xdr:to>
    <xdr:sp macro="" textlink="">
      <xdr:nvSpPr>
        <xdr:cNvPr id="333" name="Isosceles Triangle 332">
          <a:extLst>
            <a:ext uri="{FF2B5EF4-FFF2-40B4-BE49-F238E27FC236}">
              <a16:creationId xmlns:a16="http://schemas.microsoft.com/office/drawing/2014/main" id="{F0B9D08D-8E94-4374-A521-7887291E6FFC}"/>
            </a:ext>
          </a:extLst>
        </xdr:cNvPr>
        <xdr:cNvSpPr/>
      </xdr:nvSpPr>
      <xdr:spPr>
        <a:xfrm rot="10800000">
          <a:off x="11805723" y="2339373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49</xdr:row>
      <xdr:rowOff>196274</xdr:rowOff>
    </xdr:from>
    <xdr:to>
      <xdr:col>9</xdr:col>
      <xdr:colOff>877456</xdr:colOff>
      <xdr:row>49</xdr:row>
      <xdr:rowOff>346365</xdr:rowOff>
    </xdr:to>
    <xdr:sp macro="" textlink="">
      <xdr:nvSpPr>
        <xdr:cNvPr id="334" name="Isosceles Triangle 333">
          <a:extLst>
            <a:ext uri="{FF2B5EF4-FFF2-40B4-BE49-F238E27FC236}">
              <a16:creationId xmlns:a16="http://schemas.microsoft.com/office/drawing/2014/main" id="{01EE063E-D4E9-4E6F-B6C2-56C5DE059538}"/>
            </a:ext>
          </a:extLst>
        </xdr:cNvPr>
        <xdr:cNvSpPr/>
      </xdr:nvSpPr>
      <xdr:spPr>
        <a:xfrm rot="10800000">
          <a:off x="11805723" y="2685538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55</xdr:row>
      <xdr:rowOff>196274</xdr:rowOff>
    </xdr:from>
    <xdr:to>
      <xdr:col>9</xdr:col>
      <xdr:colOff>877456</xdr:colOff>
      <xdr:row>55</xdr:row>
      <xdr:rowOff>346365</xdr:rowOff>
    </xdr:to>
    <xdr:sp macro="" textlink="">
      <xdr:nvSpPr>
        <xdr:cNvPr id="335" name="Isosceles Triangle 334">
          <a:extLst>
            <a:ext uri="{FF2B5EF4-FFF2-40B4-BE49-F238E27FC236}">
              <a16:creationId xmlns:a16="http://schemas.microsoft.com/office/drawing/2014/main" id="{B62365DC-4FA5-4325-8373-64E3202AA202}"/>
            </a:ext>
          </a:extLst>
        </xdr:cNvPr>
        <xdr:cNvSpPr/>
      </xdr:nvSpPr>
      <xdr:spPr>
        <a:xfrm rot="10800000">
          <a:off x="11805723" y="30393245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61</xdr:row>
      <xdr:rowOff>196274</xdr:rowOff>
    </xdr:from>
    <xdr:to>
      <xdr:col>9</xdr:col>
      <xdr:colOff>877456</xdr:colOff>
      <xdr:row>61</xdr:row>
      <xdr:rowOff>346365</xdr:rowOff>
    </xdr:to>
    <xdr:sp macro="" textlink="">
      <xdr:nvSpPr>
        <xdr:cNvPr id="336" name="Isosceles Triangle 335">
          <a:extLst>
            <a:ext uri="{FF2B5EF4-FFF2-40B4-BE49-F238E27FC236}">
              <a16:creationId xmlns:a16="http://schemas.microsoft.com/office/drawing/2014/main" id="{D143E25E-695B-4DCB-B2E9-C59DAFA8AE9C}"/>
            </a:ext>
          </a:extLst>
        </xdr:cNvPr>
        <xdr:cNvSpPr/>
      </xdr:nvSpPr>
      <xdr:spPr>
        <a:xfrm rot="10800000">
          <a:off x="11805723" y="3385490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67</xdr:row>
      <xdr:rowOff>196274</xdr:rowOff>
    </xdr:from>
    <xdr:to>
      <xdr:col>9</xdr:col>
      <xdr:colOff>877456</xdr:colOff>
      <xdr:row>67</xdr:row>
      <xdr:rowOff>346365</xdr:rowOff>
    </xdr:to>
    <xdr:sp macro="" textlink="">
      <xdr:nvSpPr>
        <xdr:cNvPr id="337" name="Isosceles Triangle 336">
          <a:extLst>
            <a:ext uri="{FF2B5EF4-FFF2-40B4-BE49-F238E27FC236}">
              <a16:creationId xmlns:a16="http://schemas.microsoft.com/office/drawing/2014/main" id="{EF44CE3B-B3E4-47AE-A06E-563F0BAED5FC}"/>
            </a:ext>
          </a:extLst>
        </xdr:cNvPr>
        <xdr:cNvSpPr/>
      </xdr:nvSpPr>
      <xdr:spPr>
        <a:xfrm rot="10800000">
          <a:off x="11805723" y="3731656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73</xdr:row>
      <xdr:rowOff>196274</xdr:rowOff>
    </xdr:from>
    <xdr:to>
      <xdr:col>9</xdr:col>
      <xdr:colOff>877456</xdr:colOff>
      <xdr:row>73</xdr:row>
      <xdr:rowOff>346365</xdr:rowOff>
    </xdr:to>
    <xdr:sp macro="" textlink="">
      <xdr:nvSpPr>
        <xdr:cNvPr id="338" name="Isosceles Triangle 337">
          <a:extLst>
            <a:ext uri="{FF2B5EF4-FFF2-40B4-BE49-F238E27FC236}">
              <a16:creationId xmlns:a16="http://schemas.microsoft.com/office/drawing/2014/main" id="{7CB83E8D-BFF8-45C6-A675-CD7CE651D28A}"/>
            </a:ext>
          </a:extLst>
        </xdr:cNvPr>
        <xdr:cNvSpPr/>
      </xdr:nvSpPr>
      <xdr:spPr>
        <a:xfrm rot="10800000">
          <a:off x="11805723" y="4077821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79</xdr:row>
      <xdr:rowOff>196274</xdr:rowOff>
    </xdr:from>
    <xdr:to>
      <xdr:col>9</xdr:col>
      <xdr:colOff>877456</xdr:colOff>
      <xdr:row>79</xdr:row>
      <xdr:rowOff>346365</xdr:rowOff>
    </xdr:to>
    <xdr:sp macro="" textlink="">
      <xdr:nvSpPr>
        <xdr:cNvPr id="339" name="Isosceles Triangle 338">
          <a:extLst>
            <a:ext uri="{FF2B5EF4-FFF2-40B4-BE49-F238E27FC236}">
              <a16:creationId xmlns:a16="http://schemas.microsoft.com/office/drawing/2014/main" id="{F9AA2B45-660E-4FB8-830D-870A8FDB5EA0}"/>
            </a:ext>
          </a:extLst>
        </xdr:cNvPr>
        <xdr:cNvSpPr/>
      </xdr:nvSpPr>
      <xdr:spPr>
        <a:xfrm rot="10800000">
          <a:off x="11805723" y="4423987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85</xdr:row>
      <xdr:rowOff>196274</xdr:rowOff>
    </xdr:from>
    <xdr:to>
      <xdr:col>9</xdr:col>
      <xdr:colOff>877456</xdr:colOff>
      <xdr:row>85</xdr:row>
      <xdr:rowOff>346365</xdr:rowOff>
    </xdr:to>
    <xdr:sp macro="" textlink="">
      <xdr:nvSpPr>
        <xdr:cNvPr id="340" name="Isosceles Triangle 339">
          <a:extLst>
            <a:ext uri="{FF2B5EF4-FFF2-40B4-BE49-F238E27FC236}">
              <a16:creationId xmlns:a16="http://schemas.microsoft.com/office/drawing/2014/main" id="{00669188-F3FA-425C-AE2C-CE2462812D4D}"/>
            </a:ext>
          </a:extLst>
        </xdr:cNvPr>
        <xdr:cNvSpPr/>
      </xdr:nvSpPr>
      <xdr:spPr>
        <a:xfrm rot="10800000">
          <a:off x="11805723" y="4770153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91</xdr:row>
      <xdr:rowOff>196274</xdr:rowOff>
    </xdr:from>
    <xdr:to>
      <xdr:col>9</xdr:col>
      <xdr:colOff>877456</xdr:colOff>
      <xdr:row>91</xdr:row>
      <xdr:rowOff>346365</xdr:rowOff>
    </xdr:to>
    <xdr:sp macro="" textlink="">
      <xdr:nvSpPr>
        <xdr:cNvPr id="341" name="Isosceles Triangle 340">
          <a:extLst>
            <a:ext uri="{FF2B5EF4-FFF2-40B4-BE49-F238E27FC236}">
              <a16:creationId xmlns:a16="http://schemas.microsoft.com/office/drawing/2014/main" id="{C303596F-239D-4EBA-B2FE-47347BECBC18}"/>
            </a:ext>
          </a:extLst>
        </xdr:cNvPr>
        <xdr:cNvSpPr/>
      </xdr:nvSpPr>
      <xdr:spPr>
        <a:xfrm rot="10800000">
          <a:off x="11805723" y="5116318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97</xdr:row>
      <xdr:rowOff>196274</xdr:rowOff>
    </xdr:from>
    <xdr:to>
      <xdr:col>9</xdr:col>
      <xdr:colOff>877456</xdr:colOff>
      <xdr:row>97</xdr:row>
      <xdr:rowOff>346365</xdr:rowOff>
    </xdr:to>
    <xdr:sp macro="" textlink="">
      <xdr:nvSpPr>
        <xdr:cNvPr id="342" name="Isosceles Triangle 341">
          <a:extLst>
            <a:ext uri="{FF2B5EF4-FFF2-40B4-BE49-F238E27FC236}">
              <a16:creationId xmlns:a16="http://schemas.microsoft.com/office/drawing/2014/main" id="{D13A9C75-2D16-4438-B947-CC2C183F9EB7}"/>
            </a:ext>
          </a:extLst>
        </xdr:cNvPr>
        <xdr:cNvSpPr/>
      </xdr:nvSpPr>
      <xdr:spPr>
        <a:xfrm rot="10800000">
          <a:off x="11805723" y="54624845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103</xdr:row>
      <xdr:rowOff>196274</xdr:rowOff>
    </xdr:from>
    <xdr:to>
      <xdr:col>9</xdr:col>
      <xdr:colOff>877456</xdr:colOff>
      <xdr:row>103</xdr:row>
      <xdr:rowOff>346365</xdr:rowOff>
    </xdr:to>
    <xdr:sp macro="" textlink="">
      <xdr:nvSpPr>
        <xdr:cNvPr id="343" name="Isosceles Triangle 342">
          <a:extLst>
            <a:ext uri="{FF2B5EF4-FFF2-40B4-BE49-F238E27FC236}">
              <a16:creationId xmlns:a16="http://schemas.microsoft.com/office/drawing/2014/main" id="{C7578DF1-481E-4DAB-BA96-87087631A749}"/>
            </a:ext>
          </a:extLst>
        </xdr:cNvPr>
        <xdr:cNvSpPr/>
      </xdr:nvSpPr>
      <xdr:spPr>
        <a:xfrm rot="10800000">
          <a:off x="11805723" y="5808650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109</xdr:row>
      <xdr:rowOff>196274</xdr:rowOff>
    </xdr:from>
    <xdr:to>
      <xdr:col>9</xdr:col>
      <xdr:colOff>877456</xdr:colOff>
      <xdr:row>109</xdr:row>
      <xdr:rowOff>346365</xdr:rowOff>
    </xdr:to>
    <xdr:sp macro="" textlink="">
      <xdr:nvSpPr>
        <xdr:cNvPr id="344" name="Isosceles Triangle 343">
          <a:extLst>
            <a:ext uri="{FF2B5EF4-FFF2-40B4-BE49-F238E27FC236}">
              <a16:creationId xmlns:a16="http://schemas.microsoft.com/office/drawing/2014/main" id="{495A4430-17D7-4ED2-A43E-601B73F8E0C6}"/>
            </a:ext>
          </a:extLst>
        </xdr:cNvPr>
        <xdr:cNvSpPr/>
      </xdr:nvSpPr>
      <xdr:spPr>
        <a:xfrm rot="10800000">
          <a:off x="11805723" y="6154816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115</xdr:row>
      <xdr:rowOff>196274</xdr:rowOff>
    </xdr:from>
    <xdr:to>
      <xdr:col>9</xdr:col>
      <xdr:colOff>877456</xdr:colOff>
      <xdr:row>115</xdr:row>
      <xdr:rowOff>346365</xdr:rowOff>
    </xdr:to>
    <xdr:sp macro="" textlink="">
      <xdr:nvSpPr>
        <xdr:cNvPr id="345" name="Isosceles Triangle 344">
          <a:extLst>
            <a:ext uri="{FF2B5EF4-FFF2-40B4-BE49-F238E27FC236}">
              <a16:creationId xmlns:a16="http://schemas.microsoft.com/office/drawing/2014/main" id="{2729F7D4-B48B-4B6A-8438-6B657DD1737F}"/>
            </a:ext>
          </a:extLst>
        </xdr:cNvPr>
        <xdr:cNvSpPr/>
      </xdr:nvSpPr>
      <xdr:spPr>
        <a:xfrm rot="10800000">
          <a:off x="11805723" y="6500981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121</xdr:row>
      <xdr:rowOff>196274</xdr:rowOff>
    </xdr:from>
    <xdr:to>
      <xdr:col>9</xdr:col>
      <xdr:colOff>877456</xdr:colOff>
      <xdr:row>121</xdr:row>
      <xdr:rowOff>346365</xdr:rowOff>
    </xdr:to>
    <xdr:sp macro="" textlink="">
      <xdr:nvSpPr>
        <xdr:cNvPr id="346" name="Isosceles Triangle 345">
          <a:extLst>
            <a:ext uri="{FF2B5EF4-FFF2-40B4-BE49-F238E27FC236}">
              <a16:creationId xmlns:a16="http://schemas.microsoft.com/office/drawing/2014/main" id="{108D7016-BD0E-447C-B787-31D22A09D773}"/>
            </a:ext>
          </a:extLst>
        </xdr:cNvPr>
        <xdr:cNvSpPr/>
      </xdr:nvSpPr>
      <xdr:spPr>
        <a:xfrm rot="10800000">
          <a:off x="11805723" y="6847147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127</xdr:row>
      <xdr:rowOff>196274</xdr:rowOff>
    </xdr:from>
    <xdr:to>
      <xdr:col>9</xdr:col>
      <xdr:colOff>877456</xdr:colOff>
      <xdr:row>127</xdr:row>
      <xdr:rowOff>346365</xdr:rowOff>
    </xdr:to>
    <xdr:sp macro="" textlink="">
      <xdr:nvSpPr>
        <xdr:cNvPr id="347" name="Isosceles Triangle 346">
          <a:extLst>
            <a:ext uri="{FF2B5EF4-FFF2-40B4-BE49-F238E27FC236}">
              <a16:creationId xmlns:a16="http://schemas.microsoft.com/office/drawing/2014/main" id="{E816B408-F4DC-4EBD-95A8-10517D1693C0}"/>
            </a:ext>
          </a:extLst>
        </xdr:cNvPr>
        <xdr:cNvSpPr/>
      </xdr:nvSpPr>
      <xdr:spPr>
        <a:xfrm rot="10800000">
          <a:off x="11805723" y="7200933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133</xdr:row>
      <xdr:rowOff>196274</xdr:rowOff>
    </xdr:from>
    <xdr:to>
      <xdr:col>9</xdr:col>
      <xdr:colOff>877456</xdr:colOff>
      <xdr:row>133</xdr:row>
      <xdr:rowOff>346365</xdr:rowOff>
    </xdr:to>
    <xdr:sp macro="" textlink="">
      <xdr:nvSpPr>
        <xdr:cNvPr id="348" name="Isosceles Triangle 347">
          <a:extLst>
            <a:ext uri="{FF2B5EF4-FFF2-40B4-BE49-F238E27FC236}">
              <a16:creationId xmlns:a16="http://schemas.microsoft.com/office/drawing/2014/main" id="{DB1E570A-B3CF-4DF9-B7EA-6057E31858C0}"/>
            </a:ext>
          </a:extLst>
        </xdr:cNvPr>
        <xdr:cNvSpPr/>
      </xdr:nvSpPr>
      <xdr:spPr>
        <a:xfrm rot="10800000">
          <a:off x="11805723" y="7547098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139</xdr:row>
      <xdr:rowOff>196274</xdr:rowOff>
    </xdr:from>
    <xdr:to>
      <xdr:col>9</xdr:col>
      <xdr:colOff>877456</xdr:colOff>
      <xdr:row>139</xdr:row>
      <xdr:rowOff>346365</xdr:rowOff>
    </xdr:to>
    <xdr:sp macro="" textlink="">
      <xdr:nvSpPr>
        <xdr:cNvPr id="349" name="Isosceles Triangle 348">
          <a:extLst>
            <a:ext uri="{FF2B5EF4-FFF2-40B4-BE49-F238E27FC236}">
              <a16:creationId xmlns:a16="http://schemas.microsoft.com/office/drawing/2014/main" id="{4BB72BE6-86BA-4431-B117-C70D06915C3F}"/>
            </a:ext>
          </a:extLst>
        </xdr:cNvPr>
        <xdr:cNvSpPr/>
      </xdr:nvSpPr>
      <xdr:spPr>
        <a:xfrm rot="10800000">
          <a:off x="11805723" y="78932645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145</xdr:row>
      <xdr:rowOff>196274</xdr:rowOff>
    </xdr:from>
    <xdr:to>
      <xdr:col>9</xdr:col>
      <xdr:colOff>877456</xdr:colOff>
      <xdr:row>145</xdr:row>
      <xdr:rowOff>346365</xdr:rowOff>
    </xdr:to>
    <xdr:sp macro="" textlink="">
      <xdr:nvSpPr>
        <xdr:cNvPr id="350" name="Isosceles Triangle 349">
          <a:extLst>
            <a:ext uri="{FF2B5EF4-FFF2-40B4-BE49-F238E27FC236}">
              <a16:creationId xmlns:a16="http://schemas.microsoft.com/office/drawing/2014/main" id="{25ECEFCB-76CF-46AB-AF51-1C3FCF3ADDF1}"/>
            </a:ext>
          </a:extLst>
        </xdr:cNvPr>
        <xdr:cNvSpPr/>
      </xdr:nvSpPr>
      <xdr:spPr>
        <a:xfrm rot="10800000">
          <a:off x="11805723" y="8239430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151</xdr:row>
      <xdr:rowOff>196274</xdr:rowOff>
    </xdr:from>
    <xdr:to>
      <xdr:col>9</xdr:col>
      <xdr:colOff>877456</xdr:colOff>
      <xdr:row>151</xdr:row>
      <xdr:rowOff>346365</xdr:rowOff>
    </xdr:to>
    <xdr:sp macro="" textlink="">
      <xdr:nvSpPr>
        <xdr:cNvPr id="351" name="Isosceles Triangle 350">
          <a:extLst>
            <a:ext uri="{FF2B5EF4-FFF2-40B4-BE49-F238E27FC236}">
              <a16:creationId xmlns:a16="http://schemas.microsoft.com/office/drawing/2014/main" id="{E1D927D9-EB57-4444-AD97-A3D260FA3382}"/>
            </a:ext>
          </a:extLst>
        </xdr:cNvPr>
        <xdr:cNvSpPr/>
      </xdr:nvSpPr>
      <xdr:spPr>
        <a:xfrm rot="10800000">
          <a:off x="11805723" y="8585596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157</xdr:row>
      <xdr:rowOff>196274</xdr:rowOff>
    </xdr:from>
    <xdr:to>
      <xdr:col>9</xdr:col>
      <xdr:colOff>877456</xdr:colOff>
      <xdr:row>157</xdr:row>
      <xdr:rowOff>346365</xdr:rowOff>
    </xdr:to>
    <xdr:sp macro="" textlink="">
      <xdr:nvSpPr>
        <xdr:cNvPr id="352" name="Isosceles Triangle 351">
          <a:extLst>
            <a:ext uri="{FF2B5EF4-FFF2-40B4-BE49-F238E27FC236}">
              <a16:creationId xmlns:a16="http://schemas.microsoft.com/office/drawing/2014/main" id="{F9697049-2426-4EAA-9AA6-DAC7401F6029}"/>
            </a:ext>
          </a:extLst>
        </xdr:cNvPr>
        <xdr:cNvSpPr/>
      </xdr:nvSpPr>
      <xdr:spPr>
        <a:xfrm rot="10800000">
          <a:off x="11805723" y="8931761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163</xdr:row>
      <xdr:rowOff>196274</xdr:rowOff>
    </xdr:from>
    <xdr:to>
      <xdr:col>9</xdr:col>
      <xdr:colOff>877456</xdr:colOff>
      <xdr:row>163</xdr:row>
      <xdr:rowOff>346365</xdr:rowOff>
    </xdr:to>
    <xdr:sp macro="" textlink="">
      <xdr:nvSpPr>
        <xdr:cNvPr id="353" name="Isosceles Triangle 352">
          <a:extLst>
            <a:ext uri="{FF2B5EF4-FFF2-40B4-BE49-F238E27FC236}">
              <a16:creationId xmlns:a16="http://schemas.microsoft.com/office/drawing/2014/main" id="{18AE699E-0BEE-4C2A-B07D-5391CA11A411}"/>
            </a:ext>
          </a:extLst>
        </xdr:cNvPr>
        <xdr:cNvSpPr/>
      </xdr:nvSpPr>
      <xdr:spPr>
        <a:xfrm rot="10800000">
          <a:off x="11805723" y="9277927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169</xdr:row>
      <xdr:rowOff>196274</xdr:rowOff>
    </xdr:from>
    <xdr:to>
      <xdr:col>9</xdr:col>
      <xdr:colOff>877456</xdr:colOff>
      <xdr:row>169</xdr:row>
      <xdr:rowOff>346365</xdr:rowOff>
    </xdr:to>
    <xdr:sp macro="" textlink="">
      <xdr:nvSpPr>
        <xdr:cNvPr id="354" name="Isosceles Triangle 353">
          <a:extLst>
            <a:ext uri="{FF2B5EF4-FFF2-40B4-BE49-F238E27FC236}">
              <a16:creationId xmlns:a16="http://schemas.microsoft.com/office/drawing/2014/main" id="{4C08D668-13F7-4C9E-87A5-2C0829F503F0}"/>
            </a:ext>
          </a:extLst>
        </xdr:cNvPr>
        <xdr:cNvSpPr/>
      </xdr:nvSpPr>
      <xdr:spPr>
        <a:xfrm rot="10800000">
          <a:off x="11805723" y="9624093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25</xdr:row>
      <xdr:rowOff>184727</xdr:rowOff>
    </xdr:from>
    <xdr:to>
      <xdr:col>9</xdr:col>
      <xdr:colOff>877455</xdr:colOff>
      <xdr:row>25</xdr:row>
      <xdr:rowOff>334818</xdr:rowOff>
    </xdr:to>
    <xdr:sp macro="" textlink="">
      <xdr:nvSpPr>
        <xdr:cNvPr id="355" name="Isosceles Triangle 354">
          <a:extLst>
            <a:ext uri="{FF2B5EF4-FFF2-40B4-BE49-F238E27FC236}">
              <a16:creationId xmlns:a16="http://schemas.microsoft.com/office/drawing/2014/main" id="{378E18A8-7CD9-4CB5-991E-798340996D68}"/>
            </a:ext>
          </a:extLst>
        </xdr:cNvPr>
        <xdr:cNvSpPr/>
      </xdr:nvSpPr>
      <xdr:spPr>
        <a:xfrm rot="10800000">
          <a:off x="11805722" y="1299721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25</xdr:row>
      <xdr:rowOff>196274</xdr:rowOff>
    </xdr:from>
    <xdr:to>
      <xdr:col>9</xdr:col>
      <xdr:colOff>877456</xdr:colOff>
      <xdr:row>25</xdr:row>
      <xdr:rowOff>346365</xdr:rowOff>
    </xdr:to>
    <xdr:sp macro="" textlink="">
      <xdr:nvSpPr>
        <xdr:cNvPr id="356" name="Isosceles Triangle 355">
          <a:extLst>
            <a:ext uri="{FF2B5EF4-FFF2-40B4-BE49-F238E27FC236}">
              <a16:creationId xmlns:a16="http://schemas.microsoft.com/office/drawing/2014/main" id="{6F90CAD8-1253-45C4-81CF-FCCF729CE87F}"/>
            </a:ext>
          </a:extLst>
        </xdr:cNvPr>
        <xdr:cNvSpPr/>
      </xdr:nvSpPr>
      <xdr:spPr>
        <a:xfrm rot="10800000">
          <a:off x="11805723" y="1300876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25</xdr:row>
      <xdr:rowOff>184727</xdr:rowOff>
    </xdr:from>
    <xdr:to>
      <xdr:col>9</xdr:col>
      <xdr:colOff>877455</xdr:colOff>
      <xdr:row>25</xdr:row>
      <xdr:rowOff>334818</xdr:rowOff>
    </xdr:to>
    <xdr:sp macro="" textlink="">
      <xdr:nvSpPr>
        <xdr:cNvPr id="357" name="Isosceles Triangle 356">
          <a:extLst>
            <a:ext uri="{FF2B5EF4-FFF2-40B4-BE49-F238E27FC236}">
              <a16:creationId xmlns:a16="http://schemas.microsoft.com/office/drawing/2014/main" id="{BFE1E8D3-BB94-41E4-B05F-4F9D49D70A5E}"/>
            </a:ext>
          </a:extLst>
        </xdr:cNvPr>
        <xdr:cNvSpPr/>
      </xdr:nvSpPr>
      <xdr:spPr>
        <a:xfrm rot="10800000">
          <a:off x="11805722" y="1299721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25</xdr:row>
      <xdr:rowOff>196274</xdr:rowOff>
    </xdr:from>
    <xdr:to>
      <xdr:col>9</xdr:col>
      <xdr:colOff>877456</xdr:colOff>
      <xdr:row>25</xdr:row>
      <xdr:rowOff>346365</xdr:rowOff>
    </xdr:to>
    <xdr:sp macro="" textlink="">
      <xdr:nvSpPr>
        <xdr:cNvPr id="358" name="Isosceles Triangle 357">
          <a:extLst>
            <a:ext uri="{FF2B5EF4-FFF2-40B4-BE49-F238E27FC236}">
              <a16:creationId xmlns:a16="http://schemas.microsoft.com/office/drawing/2014/main" id="{1B62C7ED-348D-451C-B042-011A239C9BE9}"/>
            </a:ext>
          </a:extLst>
        </xdr:cNvPr>
        <xdr:cNvSpPr/>
      </xdr:nvSpPr>
      <xdr:spPr>
        <a:xfrm rot="10800000">
          <a:off x="11805723" y="1300876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43</xdr:row>
      <xdr:rowOff>184727</xdr:rowOff>
    </xdr:from>
    <xdr:to>
      <xdr:col>9</xdr:col>
      <xdr:colOff>877455</xdr:colOff>
      <xdr:row>43</xdr:row>
      <xdr:rowOff>334818</xdr:rowOff>
    </xdr:to>
    <xdr:sp macro="" textlink="">
      <xdr:nvSpPr>
        <xdr:cNvPr id="359" name="Isosceles Triangle 358">
          <a:extLst>
            <a:ext uri="{FF2B5EF4-FFF2-40B4-BE49-F238E27FC236}">
              <a16:creationId xmlns:a16="http://schemas.microsoft.com/office/drawing/2014/main" id="{0CA7DB10-CB65-49BA-A588-AFBAEF03E0A7}"/>
            </a:ext>
          </a:extLst>
        </xdr:cNvPr>
        <xdr:cNvSpPr/>
      </xdr:nvSpPr>
      <xdr:spPr>
        <a:xfrm rot="10800000">
          <a:off x="11805722" y="2338218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43</xdr:row>
      <xdr:rowOff>196274</xdr:rowOff>
    </xdr:from>
    <xdr:to>
      <xdr:col>9</xdr:col>
      <xdr:colOff>877456</xdr:colOff>
      <xdr:row>43</xdr:row>
      <xdr:rowOff>346365</xdr:rowOff>
    </xdr:to>
    <xdr:sp macro="" textlink="">
      <xdr:nvSpPr>
        <xdr:cNvPr id="360" name="Isosceles Triangle 359">
          <a:extLst>
            <a:ext uri="{FF2B5EF4-FFF2-40B4-BE49-F238E27FC236}">
              <a16:creationId xmlns:a16="http://schemas.microsoft.com/office/drawing/2014/main" id="{1647808A-1EBE-4CF3-B183-8A2A777C34A7}"/>
            </a:ext>
          </a:extLst>
        </xdr:cNvPr>
        <xdr:cNvSpPr/>
      </xdr:nvSpPr>
      <xdr:spPr>
        <a:xfrm rot="10800000">
          <a:off x="11805723" y="2339373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49</xdr:row>
      <xdr:rowOff>184727</xdr:rowOff>
    </xdr:from>
    <xdr:to>
      <xdr:col>9</xdr:col>
      <xdr:colOff>877455</xdr:colOff>
      <xdr:row>49</xdr:row>
      <xdr:rowOff>334818</xdr:rowOff>
    </xdr:to>
    <xdr:sp macro="" textlink="">
      <xdr:nvSpPr>
        <xdr:cNvPr id="361" name="Isosceles Triangle 360">
          <a:extLst>
            <a:ext uri="{FF2B5EF4-FFF2-40B4-BE49-F238E27FC236}">
              <a16:creationId xmlns:a16="http://schemas.microsoft.com/office/drawing/2014/main" id="{B42D7BF9-7F5B-40D7-9CD0-34E66947F077}"/>
            </a:ext>
          </a:extLst>
        </xdr:cNvPr>
        <xdr:cNvSpPr/>
      </xdr:nvSpPr>
      <xdr:spPr>
        <a:xfrm rot="10800000">
          <a:off x="11805722" y="2684384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49</xdr:row>
      <xdr:rowOff>196274</xdr:rowOff>
    </xdr:from>
    <xdr:to>
      <xdr:col>9</xdr:col>
      <xdr:colOff>877456</xdr:colOff>
      <xdr:row>49</xdr:row>
      <xdr:rowOff>346365</xdr:rowOff>
    </xdr:to>
    <xdr:sp macro="" textlink="">
      <xdr:nvSpPr>
        <xdr:cNvPr id="362" name="Isosceles Triangle 361">
          <a:extLst>
            <a:ext uri="{FF2B5EF4-FFF2-40B4-BE49-F238E27FC236}">
              <a16:creationId xmlns:a16="http://schemas.microsoft.com/office/drawing/2014/main" id="{7266F2EF-05EE-484C-AFBA-0FDDEA15A199}"/>
            </a:ext>
          </a:extLst>
        </xdr:cNvPr>
        <xdr:cNvSpPr/>
      </xdr:nvSpPr>
      <xdr:spPr>
        <a:xfrm rot="10800000">
          <a:off x="11805723" y="2685538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55</xdr:row>
      <xdr:rowOff>184727</xdr:rowOff>
    </xdr:from>
    <xdr:to>
      <xdr:col>9</xdr:col>
      <xdr:colOff>877455</xdr:colOff>
      <xdr:row>55</xdr:row>
      <xdr:rowOff>334818</xdr:rowOff>
    </xdr:to>
    <xdr:sp macro="" textlink="">
      <xdr:nvSpPr>
        <xdr:cNvPr id="363" name="Isosceles Triangle 362">
          <a:extLst>
            <a:ext uri="{FF2B5EF4-FFF2-40B4-BE49-F238E27FC236}">
              <a16:creationId xmlns:a16="http://schemas.microsoft.com/office/drawing/2014/main" id="{41DB9EAC-4ECD-44F1-8000-33EB5A7A4820}"/>
            </a:ext>
          </a:extLst>
        </xdr:cNvPr>
        <xdr:cNvSpPr/>
      </xdr:nvSpPr>
      <xdr:spPr>
        <a:xfrm rot="10800000">
          <a:off x="11805722" y="3038169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55</xdr:row>
      <xdr:rowOff>196274</xdr:rowOff>
    </xdr:from>
    <xdr:to>
      <xdr:col>9</xdr:col>
      <xdr:colOff>877456</xdr:colOff>
      <xdr:row>55</xdr:row>
      <xdr:rowOff>346365</xdr:rowOff>
    </xdr:to>
    <xdr:sp macro="" textlink="">
      <xdr:nvSpPr>
        <xdr:cNvPr id="364" name="Isosceles Triangle 363">
          <a:extLst>
            <a:ext uri="{FF2B5EF4-FFF2-40B4-BE49-F238E27FC236}">
              <a16:creationId xmlns:a16="http://schemas.microsoft.com/office/drawing/2014/main" id="{3140481A-4BFA-43B0-9A5A-D34A29532A55}"/>
            </a:ext>
          </a:extLst>
        </xdr:cNvPr>
        <xdr:cNvSpPr/>
      </xdr:nvSpPr>
      <xdr:spPr>
        <a:xfrm rot="10800000">
          <a:off x="11805723" y="30393245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61</xdr:row>
      <xdr:rowOff>184727</xdr:rowOff>
    </xdr:from>
    <xdr:to>
      <xdr:col>9</xdr:col>
      <xdr:colOff>877455</xdr:colOff>
      <xdr:row>61</xdr:row>
      <xdr:rowOff>334818</xdr:rowOff>
    </xdr:to>
    <xdr:sp macro="" textlink="">
      <xdr:nvSpPr>
        <xdr:cNvPr id="365" name="Isosceles Triangle 364">
          <a:extLst>
            <a:ext uri="{FF2B5EF4-FFF2-40B4-BE49-F238E27FC236}">
              <a16:creationId xmlns:a16="http://schemas.microsoft.com/office/drawing/2014/main" id="{CD4F5832-4064-4DBF-B146-991A9AAE44F2}"/>
            </a:ext>
          </a:extLst>
        </xdr:cNvPr>
        <xdr:cNvSpPr/>
      </xdr:nvSpPr>
      <xdr:spPr>
        <a:xfrm rot="10800000">
          <a:off x="11805722" y="33843356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61</xdr:row>
      <xdr:rowOff>196274</xdr:rowOff>
    </xdr:from>
    <xdr:to>
      <xdr:col>9</xdr:col>
      <xdr:colOff>877456</xdr:colOff>
      <xdr:row>61</xdr:row>
      <xdr:rowOff>346365</xdr:rowOff>
    </xdr:to>
    <xdr:sp macro="" textlink="">
      <xdr:nvSpPr>
        <xdr:cNvPr id="366" name="Isosceles Triangle 365">
          <a:extLst>
            <a:ext uri="{FF2B5EF4-FFF2-40B4-BE49-F238E27FC236}">
              <a16:creationId xmlns:a16="http://schemas.microsoft.com/office/drawing/2014/main" id="{096D446A-079C-42CD-8192-987BB45C6EBC}"/>
            </a:ext>
          </a:extLst>
        </xdr:cNvPr>
        <xdr:cNvSpPr/>
      </xdr:nvSpPr>
      <xdr:spPr>
        <a:xfrm rot="10800000">
          <a:off x="11805723" y="3385490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67</xdr:row>
      <xdr:rowOff>184727</xdr:rowOff>
    </xdr:from>
    <xdr:to>
      <xdr:col>9</xdr:col>
      <xdr:colOff>877455</xdr:colOff>
      <xdr:row>67</xdr:row>
      <xdr:rowOff>334818</xdr:rowOff>
    </xdr:to>
    <xdr:sp macro="" textlink="">
      <xdr:nvSpPr>
        <xdr:cNvPr id="367" name="Isosceles Triangle 366">
          <a:extLst>
            <a:ext uri="{FF2B5EF4-FFF2-40B4-BE49-F238E27FC236}">
              <a16:creationId xmlns:a16="http://schemas.microsoft.com/office/drawing/2014/main" id="{C2C82355-916D-4EFF-92F8-CE9E8BDFA76B}"/>
            </a:ext>
          </a:extLst>
        </xdr:cNvPr>
        <xdr:cNvSpPr/>
      </xdr:nvSpPr>
      <xdr:spPr>
        <a:xfrm rot="10800000">
          <a:off x="11805722" y="3730501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67</xdr:row>
      <xdr:rowOff>196274</xdr:rowOff>
    </xdr:from>
    <xdr:to>
      <xdr:col>9</xdr:col>
      <xdr:colOff>877456</xdr:colOff>
      <xdr:row>67</xdr:row>
      <xdr:rowOff>346365</xdr:rowOff>
    </xdr:to>
    <xdr:sp macro="" textlink="">
      <xdr:nvSpPr>
        <xdr:cNvPr id="368" name="Isosceles Triangle 367">
          <a:extLst>
            <a:ext uri="{FF2B5EF4-FFF2-40B4-BE49-F238E27FC236}">
              <a16:creationId xmlns:a16="http://schemas.microsoft.com/office/drawing/2014/main" id="{B1E4CF21-EA7D-4FAC-A973-F1A6FC40B94B}"/>
            </a:ext>
          </a:extLst>
        </xdr:cNvPr>
        <xdr:cNvSpPr/>
      </xdr:nvSpPr>
      <xdr:spPr>
        <a:xfrm rot="10800000">
          <a:off x="11805723" y="3731656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67</xdr:row>
      <xdr:rowOff>184727</xdr:rowOff>
    </xdr:from>
    <xdr:to>
      <xdr:col>9</xdr:col>
      <xdr:colOff>877455</xdr:colOff>
      <xdr:row>67</xdr:row>
      <xdr:rowOff>334818</xdr:rowOff>
    </xdr:to>
    <xdr:sp macro="" textlink="">
      <xdr:nvSpPr>
        <xdr:cNvPr id="369" name="Isosceles Triangle 368">
          <a:extLst>
            <a:ext uri="{FF2B5EF4-FFF2-40B4-BE49-F238E27FC236}">
              <a16:creationId xmlns:a16="http://schemas.microsoft.com/office/drawing/2014/main" id="{BEF7CB3B-AB48-41F7-AACA-FD59B26715FF}"/>
            </a:ext>
          </a:extLst>
        </xdr:cNvPr>
        <xdr:cNvSpPr/>
      </xdr:nvSpPr>
      <xdr:spPr>
        <a:xfrm rot="10800000">
          <a:off x="11805722" y="3730501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67</xdr:row>
      <xdr:rowOff>196274</xdr:rowOff>
    </xdr:from>
    <xdr:to>
      <xdr:col>9</xdr:col>
      <xdr:colOff>877456</xdr:colOff>
      <xdr:row>67</xdr:row>
      <xdr:rowOff>346365</xdr:rowOff>
    </xdr:to>
    <xdr:sp macro="" textlink="">
      <xdr:nvSpPr>
        <xdr:cNvPr id="370" name="Isosceles Triangle 369">
          <a:extLst>
            <a:ext uri="{FF2B5EF4-FFF2-40B4-BE49-F238E27FC236}">
              <a16:creationId xmlns:a16="http://schemas.microsoft.com/office/drawing/2014/main" id="{129E7B01-E721-4B00-9860-A9C4162AAB5E}"/>
            </a:ext>
          </a:extLst>
        </xdr:cNvPr>
        <xdr:cNvSpPr/>
      </xdr:nvSpPr>
      <xdr:spPr>
        <a:xfrm rot="10800000">
          <a:off x="11805723" y="3731656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73</xdr:row>
      <xdr:rowOff>184727</xdr:rowOff>
    </xdr:from>
    <xdr:to>
      <xdr:col>9</xdr:col>
      <xdr:colOff>877455</xdr:colOff>
      <xdr:row>73</xdr:row>
      <xdr:rowOff>334818</xdr:rowOff>
    </xdr:to>
    <xdr:sp macro="" textlink="">
      <xdr:nvSpPr>
        <xdr:cNvPr id="371" name="Isosceles Triangle 370">
          <a:extLst>
            <a:ext uri="{FF2B5EF4-FFF2-40B4-BE49-F238E27FC236}">
              <a16:creationId xmlns:a16="http://schemas.microsoft.com/office/drawing/2014/main" id="{CE085C97-2078-408E-8BF6-90CAFE1AC8B7}"/>
            </a:ext>
          </a:extLst>
        </xdr:cNvPr>
        <xdr:cNvSpPr/>
      </xdr:nvSpPr>
      <xdr:spPr>
        <a:xfrm rot="10800000">
          <a:off x="11805722" y="4076667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73</xdr:row>
      <xdr:rowOff>196274</xdr:rowOff>
    </xdr:from>
    <xdr:to>
      <xdr:col>9</xdr:col>
      <xdr:colOff>877456</xdr:colOff>
      <xdr:row>73</xdr:row>
      <xdr:rowOff>346365</xdr:rowOff>
    </xdr:to>
    <xdr:sp macro="" textlink="">
      <xdr:nvSpPr>
        <xdr:cNvPr id="372" name="Isosceles Triangle 371">
          <a:extLst>
            <a:ext uri="{FF2B5EF4-FFF2-40B4-BE49-F238E27FC236}">
              <a16:creationId xmlns:a16="http://schemas.microsoft.com/office/drawing/2014/main" id="{C99714EF-9114-4CED-8834-C7830EDDEDC1}"/>
            </a:ext>
          </a:extLst>
        </xdr:cNvPr>
        <xdr:cNvSpPr/>
      </xdr:nvSpPr>
      <xdr:spPr>
        <a:xfrm rot="10800000">
          <a:off x="11805723" y="4077821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73</xdr:row>
      <xdr:rowOff>184727</xdr:rowOff>
    </xdr:from>
    <xdr:to>
      <xdr:col>9</xdr:col>
      <xdr:colOff>877455</xdr:colOff>
      <xdr:row>73</xdr:row>
      <xdr:rowOff>334818</xdr:rowOff>
    </xdr:to>
    <xdr:sp macro="" textlink="">
      <xdr:nvSpPr>
        <xdr:cNvPr id="373" name="Isosceles Triangle 372">
          <a:extLst>
            <a:ext uri="{FF2B5EF4-FFF2-40B4-BE49-F238E27FC236}">
              <a16:creationId xmlns:a16="http://schemas.microsoft.com/office/drawing/2014/main" id="{61BF90F3-DAA3-4AA7-8164-25723CC1D49F}"/>
            </a:ext>
          </a:extLst>
        </xdr:cNvPr>
        <xdr:cNvSpPr/>
      </xdr:nvSpPr>
      <xdr:spPr>
        <a:xfrm rot="10800000">
          <a:off x="11805722" y="4076667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73</xdr:row>
      <xdr:rowOff>196274</xdr:rowOff>
    </xdr:from>
    <xdr:to>
      <xdr:col>9</xdr:col>
      <xdr:colOff>877456</xdr:colOff>
      <xdr:row>73</xdr:row>
      <xdr:rowOff>346365</xdr:rowOff>
    </xdr:to>
    <xdr:sp macro="" textlink="">
      <xdr:nvSpPr>
        <xdr:cNvPr id="374" name="Isosceles Triangle 373">
          <a:extLst>
            <a:ext uri="{FF2B5EF4-FFF2-40B4-BE49-F238E27FC236}">
              <a16:creationId xmlns:a16="http://schemas.microsoft.com/office/drawing/2014/main" id="{2D521A49-04F5-4364-96B5-B58CF6C8B90B}"/>
            </a:ext>
          </a:extLst>
        </xdr:cNvPr>
        <xdr:cNvSpPr/>
      </xdr:nvSpPr>
      <xdr:spPr>
        <a:xfrm rot="10800000">
          <a:off x="11805723" y="4077821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79</xdr:row>
      <xdr:rowOff>184727</xdr:rowOff>
    </xdr:from>
    <xdr:to>
      <xdr:col>9</xdr:col>
      <xdr:colOff>877455</xdr:colOff>
      <xdr:row>79</xdr:row>
      <xdr:rowOff>334818</xdr:rowOff>
    </xdr:to>
    <xdr:sp macro="" textlink="">
      <xdr:nvSpPr>
        <xdr:cNvPr id="375" name="Isosceles Triangle 374">
          <a:extLst>
            <a:ext uri="{FF2B5EF4-FFF2-40B4-BE49-F238E27FC236}">
              <a16:creationId xmlns:a16="http://schemas.microsoft.com/office/drawing/2014/main" id="{36B87825-8227-4FD7-879E-00A64EE8CB48}"/>
            </a:ext>
          </a:extLst>
        </xdr:cNvPr>
        <xdr:cNvSpPr/>
      </xdr:nvSpPr>
      <xdr:spPr>
        <a:xfrm rot="10800000">
          <a:off x="11805722" y="4422832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79</xdr:row>
      <xdr:rowOff>196274</xdr:rowOff>
    </xdr:from>
    <xdr:to>
      <xdr:col>9</xdr:col>
      <xdr:colOff>877456</xdr:colOff>
      <xdr:row>79</xdr:row>
      <xdr:rowOff>346365</xdr:rowOff>
    </xdr:to>
    <xdr:sp macro="" textlink="">
      <xdr:nvSpPr>
        <xdr:cNvPr id="376" name="Isosceles Triangle 375">
          <a:extLst>
            <a:ext uri="{FF2B5EF4-FFF2-40B4-BE49-F238E27FC236}">
              <a16:creationId xmlns:a16="http://schemas.microsoft.com/office/drawing/2014/main" id="{1FA7D43E-7207-4B8B-862B-FCD917BBFA57}"/>
            </a:ext>
          </a:extLst>
        </xdr:cNvPr>
        <xdr:cNvSpPr/>
      </xdr:nvSpPr>
      <xdr:spPr>
        <a:xfrm rot="10800000">
          <a:off x="11805723" y="4423987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79</xdr:row>
      <xdr:rowOff>184727</xdr:rowOff>
    </xdr:from>
    <xdr:to>
      <xdr:col>9</xdr:col>
      <xdr:colOff>877455</xdr:colOff>
      <xdr:row>79</xdr:row>
      <xdr:rowOff>334818</xdr:rowOff>
    </xdr:to>
    <xdr:sp macro="" textlink="">
      <xdr:nvSpPr>
        <xdr:cNvPr id="377" name="Isosceles Triangle 376">
          <a:extLst>
            <a:ext uri="{FF2B5EF4-FFF2-40B4-BE49-F238E27FC236}">
              <a16:creationId xmlns:a16="http://schemas.microsoft.com/office/drawing/2014/main" id="{AB12549B-A9F6-4E7C-9A32-7671527951D4}"/>
            </a:ext>
          </a:extLst>
        </xdr:cNvPr>
        <xdr:cNvSpPr/>
      </xdr:nvSpPr>
      <xdr:spPr>
        <a:xfrm rot="10800000">
          <a:off x="11805722" y="4422832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79</xdr:row>
      <xdr:rowOff>196274</xdr:rowOff>
    </xdr:from>
    <xdr:to>
      <xdr:col>9</xdr:col>
      <xdr:colOff>877456</xdr:colOff>
      <xdr:row>79</xdr:row>
      <xdr:rowOff>346365</xdr:rowOff>
    </xdr:to>
    <xdr:sp macro="" textlink="">
      <xdr:nvSpPr>
        <xdr:cNvPr id="378" name="Isosceles Triangle 377">
          <a:extLst>
            <a:ext uri="{FF2B5EF4-FFF2-40B4-BE49-F238E27FC236}">
              <a16:creationId xmlns:a16="http://schemas.microsoft.com/office/drawing/2014/main" id="{03B8FBD5-04F5-45A3-BA12-AE82956D5CC9}"/>
            </a:ext>
          </a:extLst>
        </xdr:cNvPr>
        <xdr:cNvSpPr/>
      </xdr:nvSpPr>
      <xdr:spPr>
        <a:xfrm rot="10800000">
          <a:off x="11805723" y="4423987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85</xdr:row>
      <xdr:rowOff>184727</xdr:rowOff>
    </xdr:from>
    <xdr:to>
      <xdr:col>9</xdr:col>
      <xdr:colOff>877455</xdr:colOff>
      <xdr:row>85</xdr:row>
      <xdr:rowOff>334818</xdr:rowOff>
    </xdr:to>
    <xdr:sp macro="" textlink="">
      <xdr:nvSpPr>
        <xdr:cNvPr id="379" name="Isosceles Triangle 378">
          <a:extLst>
            <a:ext uri="{FF2B5EF4-FFF2-40B4-BE49-F238E27FC236}">
              <a16:creationId xmlns:a16="http://schemas.microsoft.com/office/drawing/2014/main" id="{1DE814E7-F1E4-4C32-8CF3-D3052A7CC5F5}"/>
            </a:ext>
          </a:extLst>
        </xdr:cNvPr>
        <xdr:cNvSpPr/>
      </xdr:nvSpPr>
      <xdr:spPr>
        <a:xfrm rot="10800000">
          <a:off x="11805722" y="4768998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85</xdr:row>
      <xdr:rowOff>196274</xdr:rowOff>
    </xdr:from>
    <xdr:to>
      <xdr:col>9</xdr:col>
      <xdr:colOff>877456</xdr:colOff>
      <xdr:row>85</xdr:row>
      <xdr:rowOff>346365</xdr:rowOff>
    </xdr:to>
    <xdr:sp macro="" textlink="">
      <xdr:nvSpPr>
        <xdr:cNvPr id="380" name="Isosceles Triangle 379">
          <a:extLst>
            <a:ext uri="{FF2B5EF4-FFF2-40B4-BE49-F238E27FC236}">
              <a16:creationId xmlns:a16="http://schemas.microsoft.com/office/drawing/2014/main" id="{9061E326-670C-4205-A365-BCBE94FFF101}"/>
            </a:ext>
          </a:extLst>
        </xdr:cNvPr>
        <xdr:cNvSpPr/>
      </xdr:nvSpPr>
      <xdr:spPr>
        <a:xfrm rot="10800000">
          <a:off x="11805723" y="4770153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85</xdr:row>
      <xdr:rowOff>184727</xdr:rowOff>
    </xdr:from>
    <xdr:to>
      <xdr:col>9</xdr:col>
      <xdr:colOff>877455</xdr:colOff>
      <xdr:row>85</xdr:row>
      <xdr:rowOff>334818</xdr:rowOff>
    </xdr:to>
    <xdr:sp macro="" textlink="">
      <xdr:nvSpPr>
        <xdr:cNvPr id="381" name="Isosceles Triangle 380">
          <a:extLst>
            <a:ext uri="{FF2B5EF4-FFF2-40B4-BE49-F238E27FC236}">
              <a16:creationId xmlns:a16="http://schemas.microsoft.com/office/drawing/2014/main" id="{0EB4A735-F2D8-4AF2-9753-E3A873E976A9}"/>
            </a:ext>
          </a:extLst>
        </xdr:cNvPr>
        <xdr:cNvSpPr/>
      </xdr:nvSpPr>
      <xdr:spPr>
        <a:xfrm rot="10800000">
          <a:off x="11805722" y="4768998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85</xdr:row>
      <xdr:rowOff>196274</xdr:rowOff>
    </xdr:from>
    <xdr:to>
      <xdr:col>9</xdr:col>
      <xdr:colOff>877456</xdr:colOff>
      <xdr:row>85</xdr:row>
      <xdr:rowOff>346365</xdr:rowOff>
    </xdr:to>
    <xdr:sp macro="" textlink="">
      <xdr:nvSpPr>
        <xdr:cNvPr id="382" name="Isosceles Triangle 381">
          <a:extLst>
            <a:ext uri="{FF2B5EF4-FFF2-40B4-BE49-F238E27FC236}">
              <a16:creationId xmlns:a16="http://schemas.microsoft.com/office/drawing/2014/main" id="{C0004DB9-3358-4305-8069-C8BF527F645F}"/>
            </a:ext>
          </a:extLst>
        </xdr:cNvPr>
        <xdr:cNvSpPr/>
      </xdr:nvSpPr>
      <xdr:spPr>
        <a:xfrm rot="10800000">
          <a:off x="11805723" y="4770153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91</xdr:row>
      <xdr:rowOff>184727</xdr:rowOff>
    </xdr:from>
    <xdr:to>
      <xdr:col>9</xdr:col>
      <xdr:colOff>877455</xdr:colOff>
      <xdr:row>91</xdr:row>
      <xdr:rowOff>334818</xdr:rowOff>
    </xdr:to>
    <xdr:sp macro="" textlink="">
      <xdr:nvSpPr>
        <xdr:cNvPr id="383" name="Isosceles Triangle 382">
          <a:extLst>
            <a:ext uri="{FF2B5EF4-FFF2-40B4-BE49-F238E27FC236}">
              <a16:creationId xmlns:a16="http://schemas.microsoft.com/office/drawing/2014/main" id="{85DB186A-0228-46DA-80C5-034F26CDFAB1}"/>
            </a:ext>
          </a:extLst>
        </xdr:cNvPr>
        <xdr:cNvSpPr/>
      </xdr:nvSpPr>
      <xdr:spPr>
        <a:xfrm rot="10800000">
          <a:off x="11805722" y="5115164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91</xdr:row>
      <xdr:rowOff>196274</xdr:rowOff>
    </xdr:from>
    <xdr:to>
      <xdr:col>9</xdr:col>
      <xdr:colOff>877456</xdr:colOff>
      <xdr:row>91</xdr:row>
      <xdr:rowOff>346365</xdr:rowOff>
    </xdr:to>
    <xdr:sp macro="" textlink="">
      <xdr:nvSpPr>
        <xdr:cNvPr id="384" name="Isosceles Triangle 383">
          <a:extLst>
            <a:ext uri="{FF2B5EF4-FFF2-40B4-BE49-F238E27FC236}">
              <a16:creationId xmlns:a16="http://schemas.microsoft.com/office/drawing/2014/main" id="{87926E38-1499-4B80-A185-5F0A1613B8B1}"/>
            </a:ext>
          </a:extLst>
        </xdr:cNvPr>
        <xdr:cNvSpPr/>
      </xdr:nvSpPr>
      <xdr:spPr>
        <a:xfrm rot="10800000">
          <a:off x="11805723" y="5116318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91</xdr:row>
      <xdr:rowOff>184727</xdr:rowOff>
    </xdr:from>
    <xdr:to>
      <xdr:col>9</xdr:col>
      <xdr:colOff>877455</xdr:colOff>
      <xdr:row>91</xdr:row>
      <xdr:rowOff>334818</xdr:rowOff>
    </xdr:to>
    <xdr:sp macro="" textlink="">
      <xdr:nvSpPr>
        <xdr:cNvPr id="385" name="Isosceles Triangle 384">
          <a:extLst>
            <a:ext uri="{FF2B5EF4-FFF2-40B4-BE49-F238E27FC236}">
              <a16:creationId xmlns:a16="http://schemas.microsoft.com/office/drawing/2014/main" id="{C1025D54-7B0B-45BA-924B-50D8E87965A2}"/>
            </a:ext>
          </a:extLst>
        </xdr:cNvPr>
        <xdr:cNvSpPr/>
      </xdr:nvSpPr>
      <xdr:spPr>
        <a:xfrm rot="10800000">
          <a:off x="11805722" y="5115164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91</xdr:row>
      <xdr:rowOff>196274</xdr:rowOff>
    </xdr:from>
    <xdr:to>
      <xdr:col>9</xdr:col>
      <xdr:colOff>877456</xdr:colOff>
      <xdr:row>91</xdr:row>
      <xdr:rowOff>346365</xdr:rowOff>
    </xdr:to>
    <xdr:sp macro="" textlink="">
      <xdr:nvSpPr>
        <xdr:cNvPr id="386" name="Isosceles Triangle 385">
          <a:extLst>
            <a:ext uri="{FF2B5EF4-FFF2-40B4-BE49-F238E27FC236}">
              <a16:creationId xmlns:a16="http://schemas.microsoft.com/office/drawing/2014/main" id="{F264CAC4-473C-4FAC-9CC6-AA25483DA8AF}"/>
            </a:ext>
          </a:extLst>
        </xdr:cNvPr>
        <xdr:cNvSpPr/>
      </xdr:nvSpPr>
      <xdr:spPr>
        <a:xfrm rot="10800000">
          <a:off x="11805723" y="5116318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97</xdr:row>
      <xdr:rowOff>184727</xdr:rowOff>
    </xdr:from>
    <xdr:to>
      <xdr:col>9</xdr:col>
      <xdr:colOff>877455</xdr:colOff>
      <xdr:row>97</xdr:row>
      <xdr:rowOff>334818</xdr:rowOff>
    </xdr:to>
    <xdr:sp macro="" textlink="">
      <xdr:nvSpPr>
        <xdr:cNvPr id="387" name="Isosceles Triangle 386">
          <a:extLst>
            <a:ext uri="{FF2B5EF4-FFF2-40B4-BE49-F238E27FC236}">
              <a16:creationId xmlns:a16="http://schemas.microsoft.com/office/drawing/2014/main" id="{3B7B0FED-C412-4952-9C6F-7EB82B2EDE94}"/>
            </a:ext>
          </a:extLst>
        </xdr:cNvPr>
        <xdr:cNvSpPr/>
      </xdr:nvSpPr>
      <xdr:spPr>
        <a:xfrm rot="10800000">
          <a:off x="11805722" y="5461329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97</xdr:row>
      <xdr:rowOff>196274</xdr:rowOff>
    </xdr:from>
    <xdr:to>
      <xdr:col>9</xdr:col>
      <xdr:colOff>877456</xdr:colOff>
      <xdr:row>97</xdr:row>
      <xdr:rowOff>346365</xdr:rowOff>
    </xdr:to>
    <xdr:sp macro="" textlink="">
      <xdr:nvSpPr>
        <xdr:cNvPr id="388" name="Isosceles Triangle 387">
          <a:extLst>
            <a:ext uri="{FF2B5EF4-FFF2-40B4-BE49-F238E27FC236}">
              <a16:creationId xmlns:a16="http://schemas.microsoft.com/office/drawing/2014/main" id="{32674DE2-A76B-4CE9-97F3-0C41DFABEDA1}"/>
            </a:ext>
          </a:extLst>
        </xdr:cNvPr>
        <xdr:cNvSpPr/>
      </xdr:nvSpPr>
      <xdr:spPr>
        <a:xfrm rot="10800000">
          <a:off x="11805723" y="54624845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97</xdr:row>
      <xdr:rowOff>184727</xdr:rowOff>
    </xdr:from>
    <xdr:to>
      <xdr:col>9</xdr:col>
      <xdr:colOff>877455</xdr:colOff>
      <xdr:row>97</xdr:row>
      <xdr:rowOff>334818</xdr:rowOff>
    </xdr:to>
    <xdr:sp macro="" textlink="">
      <xdr:nvSpPr>
        <xdr:cNvPr id="389" name="Isosceles Triangle 388">
          <a:extLst>
            <a:ext uri="{FF2B5EF4-FFF2-40B4-BE49-F238E27FC236}">
              <a16:creationId xmlns:a16="http://schemas.microsoft.com/office/drawing/2014/main" id="{C5C0398F-D9B5-4A12-B4AC-37EC47FC4B1A}"/>
            </a:ext>
          </a:extLst>
        </xdr:cNvPr>
        <xdr:cNvSpPr/>
      </xdr:nvSpPr>
      <xdr:spPr>
        <a:xfrm rot="10800000">
          <a:off x="11805722" y="5461329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97</xdr:row>
      <xdr:rowOff>196274</xdr:rowOff>
    </xdr:from>
    <xdr:to>
      <xdr:col>9</xdr:col>
      <xdr:colOff>877456</xdr:colOff>
      <xdr:row>97</xdr:row>
      <xdr:rowOff>346365</xdr:rowOff>
    </xdr:to>
    <xdr:sp macro="" textlink="">
      <xdr:nvSpPr>
        <xdr:cNvPr id="390" name="Isosceles Triangle 389">
          <a:extLst>
            <a:ext uri="{FF2B5EF4-FFF2-40B4-BE49-F238E27FC236}">
              <a16:creationId xmlns:a16="http://schemas.microsoft.com/office/drawing/2014/main" id="{1047D548-B9C6-4CB9-B848-804B320928DB}"/>
            </a:ext>
          </a:extLst>
        </xdr:cNvPr>
        <xdr:cNvSpPr/>
      </xdr:nvSpPr>
      <xdr:spPr>
        <a:xfrm rot="10800000">
          <a:off x="11805723" y="54624845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103</xdr:row>
      <xdr:rowOff>184727</xdr:rowOff>
    </xdr:from>
    <xdr:to>
      <xdr:col>9</xdr:col>
      <xdr:colOff>877455</xdr:colOff>
      <xdr:row>103</xdr:row>
      <xdr:rowOff>334818</xdr:rowOff>
    </xdr:to>
    <xdr:sp macro="" textlink="">
      <xdr:nvSpPr>
        <xdr:cNvPr id="391" name="Isosceles Triangle 390">
          <a:extLst>
            <a:ext uri="{FF2B5EF4-FFF2-40B4-BE49-F238E27FC236}">
              <a16:creationId xmlns:a16="http://schemas.microsoft.com/office/drawing/2014/main" id="{DF2CFD27-5C26-46F6-AA02-FFC8E54312B2}"/>
            </a:ext>
          </a:extLst>
        </xdr:cNvPr>
        <xdr:cNvSpPr/>
      </xdr:nvSpPr>
      <xdr:spPr>
        <a:xfrm rot="10800000">
          <a:off x="11805722" y="58074956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103</xdr:row>
      <xdr:rowOff>196274</xdr:rowOff>
    </xdr:from>
    <xdr:to>
      <xdr:col>9</xdr:col>
      <xdr:colOff>877456</xdr:colOff>
      <xdr:row>103</xdr:row>
      <xdr:rowOff>346365</xdr:rowOff>
    </xdr:to>
    <xdr:sp macro="" textlink="">
      <xdr:nvSpPr>
        <xdr:cNvPr id="392" name="Isosceles Triangle 391">
          <a:extLst>
            <a:ext uri="{FF2B5EF4-FFF2-40B4-BE49-F238E27FC236}">
              <a16:creationId xmlns:a16="http://schemas.microsoft.com/office/drawing/2014/main" id="{3FFF1C3B-AF4A-419D-9841-71D607665A71}"/>
            </a:ext>
          </a:extLst>
        </xdr:cNvPr>
        <xdr:cNvSpPr/>
      </xdr:nvSpPr>
      <xdr:spPr>
        <a:xfrm rot="10800000">
          <a:off x="11805723" y="5808650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103</xdr:row>
      <xdr:rowOff>184727</xdr:rowOff>
    </xdr:from>
    <xdr:to>
      <xdr:col>9</xdr:col>
      <xdr:colOff>877455</xdr:colOff>
      <xdr:row>103</xdr:row>
      <xdr:rowOff>334818</xdr:rowOff>
    </xdr:to>
    <xdr:sp macro="" textlink="">
      <xdr:nvSpPr>
        <xdr:cNvPr id="393" name="Isosceles Triangle 392">
          <a:extLst>
            <a:ext uri="{FF2B5EF4-FFF2-40B4-BE49-F238E27FC236}">
              <a16:creationId xmlns:a16="http://schemas.microsoft.com/office/drawing/2014/main" id="{E1BD4EB5-AA03-4D54-A27F-2FE73A030727}"/>
            </a:ext>
          </a:extLst>
        </xdr:cNvPr>
        <xdr:cNvSpPr/>
      </xdr:nvSpPr>
      <xdr:spPr>
        <a:xfrm rot="10800000">
          <a:off x="11805722" y="58074956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103</xdr:row>
      <xdr:rowOff>196274</xdr:rowOff>
    </xdr:from>
    <xdr:to>
      <xdr:col>9</xdr:col>
      <xdr:colOff>877456</xdr:colOff>
      <xdr:row>103</xdr:row>
      <xdr:rowOff>346365</xdr:rowOff>
    </xdr:to>
    <xdr:sp macro="" textlink="">
      <xdr:nvSpPr>
        <xdr:cNvPr id="394" name="Isosceles Triangle 393">
          <a:extLst>
            <a:ext uri="{FF2B5EF4-FFF2-40B4-BE49-F238E27FC236}">
              <a16:creationId xmlns:a16="http://schemas.microsoft.com/office/drawing/2014/main" id="{9CFD33C4-C68A-4272-BD73-074FCC05D632}"/>
            </a:ext>
          </a:extLst>
        </xdr:cNvPr>
        <xdr:cNvSpPr/>
      </xdr:nvSpPr>
      <xdr:spPr>
        <a:xfrm rot="10800000">
          <a:off x="11805723" y="5808650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109</xdr:row>
      <xdr:rowOff>184727</xdr:rowOff>
    </xdr:from>
    <xdr:to>
      <xdr:col>9</xdr:col>
      <xdr:colOff>877455</xdr:colOff>
      <xdr:row>109</xdr:row>
      <xdr:rowOff>334818</xdr:rowOff>
    </xdr:to>
    <xdr:sp macro="" textlink="">
      <xdr:nvSpPr>
        <xdr:cNvPr id="395" name="Isosceles Triangle 394">
          <a:extLst>
            <a:ext uri="{FF2B5EF4-FFF2-40B4-BE49-F238E27FC236}">
              <a16:creationId xmlns:a16="http://schemas.microsoft.com/office/drawing/2014/main" id="{984DBCA9-9F25-483D-B36E-6370B1F24CB5}"/>
            </a:ext>
          </a:extLst>
        </xdr:cNvPr>
        <xdr:cNvSpPr/>
      </xdr:nvSpPr>
      <xdr:spPr>
        <a:xfrm rot="10800000">
          <a:off x="11805722" y="6153661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109</xdr:row>
      <xdr:rowOff>196274</xdr:rowOff>
    </xdr:from>
    <xdr:to>
      <xdr:col>9</xdr:col>
      <xdr:colOff>877456</xdr:colOff>
      <xdr:row>109</xdr:row>
      <xdr:rowOff>346365</xdr:rowOff>
    </xdr:to>
    <xdr:sp macro="" textlink="">
      <xdr:nvSpPr>
        <xdr:cNvPr id="396" name="Isosceles Triangle 395">
          <a:extLst>
            <a:ext uri="{FF2B5EF4-FFF2-40B4-BE49-F238E27FC236}">
              <a16:creationId xmlns:a16="http://schemas.microsoft.com/office/drawing/2014/main" id="{70F81E5F-348C-4450-B53B-B1BEB4CA5E4C}"/>
            </a:ext>
          </a:extLst>
        </xdr:cNvPr>
        <xdr:cNvSpPr/>
      </xdr:nvSpPr>
      <xdr:spPr>
        <a:xfrm rot="10800000">
          <a:off x="11805723" y="6154816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109</xdr:row>
      <xdr:rowOff>184727</xdr:rowOff>
    </xdr:from>
    <xdr:to>
      <xdr:col>9</xdr:col>
      <xdr:colOff>877455</xdr:colOff>
      <xdr:row>109</xdr:row>
      <xdr:rowOff>334818</xdr:rowOff>
    </xdr:to>
    <xdr:sp macro="" textlink="">
      <xdr:nvSpPr>
        <xdr:cNvPr id="397" name="Isosceles Triangle 396">
          <a:extLst>
            <a:ext uri="{FF2B5EF4-FFF2-40B4-BE49-F238E27FC236}">
              <a16:creationId xmlns:a16="http://schemas.microsoft.com/office/drawing/2014/main" id="{38DEB8C7-6BF9-4A48-AB89-61C9EE1708BD}"/>
            </a:ext>
          </a:extLst>
        </xdr:cNvPr>
        <xdr:cNvSpPr/>
      </xdr:nvSpPr>
      <xdr:spPr>
        <a:xfrm rot="10800000">
          <a:off x="11805722" y="6153661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109</xdr:row>
      <xdr:rowOff>196274</xdr:rowOff>
    </xdr:from>
    <xdr:to>
      <xdr:col>9</xdr:col>
      <xdr:colOff>877456</xdr:colOff>
      <xdr:row>109</xdr:row>
      <xdr:rowOff>346365</xdr:rowOff>
    </xdr:to>
    <xdr:sp macro="" textlink="">
      <xdr:nvSpPr>
        <xdr:cNvPr id="398" name="Isosceles Triangle 397">
          <a:extLst>
            <a:ext uri="{FF2B5EF4-FFF2-40B4-BE49-F238E27FC236}">
              <a16:creationId xmlns:a16="http://schemas.microsoft.com/office/drawing/2014/main" id="{24AAE177-A146-411F-BB2A-65F48A7F490D}"/>
            </a:ext>
          </a:extLst>
        </xdr:cNvPr>
        <xdr:cNvSpPr/>
      </xdr:nvSpPr>
      <xdr:spPr>
        <a:xfrm rot="10800000">
          <a:off x="11805723" y="6154816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115</xdr:row>
      <xdr:rowOff>184727</xdr:rowOff>
    </xdr:from>
    <xdr:to>
      <xdr:col>9</xdr:col>
      <xdr:colOff>877455</xdr:colOff>
      <xdr:row>115</xdr:row>
      <xdr:rowOff>334818</xdr:rowOff>
    </xdr:to>
    <xdr:sp macro="" textlink="">
      <xdr:nvSpPr>
        <xdr:cNvPr id="399" name="Isosceles Triangle 398">
          <a:extLst>
            <a:ext uri="{FF2B5EF4-FFF2-40B4-BE49-F238E27FC236}">
              <a16:creationId xmlns:a16="http://schemas.microsoft.com/office/drawing/2014/main" id="{803969B3-C421-4B20-A091-C294199BF1F0}"/>
            </a:ext>
          </a:extLst>
        </xdr:cNvPr>
        <xdr:cNvSpPr/>
      </xdr:nvSpPr>
      <xdr:spPr>
        <a:xfrm rot="10800000">
          <a:off x="11805722" y="6499827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115</xdr:row>
      <xdr:rowOff>196274</xdr:rowOff>
    </xdr:from>
    <xdr:to>
      <xdr:col>9</xdr:col>
      <xdr:colOff>877456</xdr:colOff>
      <xdr:row>115</xdr:row>
      <xdr:rowOff>346365</xdr:rowOff>
    </xdr:to>
    <xdr:sp macro="" textlink="">
      <xdr:nvSpPr>
        <xdr:cNvPr id="400" name="Isosceles Triangle 399">
          <a:extLst>
            <a:ext uri="{FF2B5EF4-FFF2-40B4-BE49-F238E27FC236}">
              <a16:creationId xmlns:a16="http://schemas.microsoft.com/office/drawing/2014/main" id="{D3E3D3B6-2B46-49C2-A852-1B552A98C063}"/>
            </a:ext>
          </a:extLst>
        </xdr:cNvPr>
        <xdr:cNvSpPr/>
      </xdr:nvSpPr>
      <xdr:spPr>
        <a:xfrm rot="10800000">
          <a:off x="11805723" y="6500981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115</xdr:row>
      <xdr:rowOff>184727</xdr:rowOff>
    </xdr:from>
    <xdr:to>
      <xdr:col>9</xdr:col>
      <xdr:colOff>877455</xdr:colOff>
      <xdr:row>115</xdr:row>
      <xdr:rowOff>334818</xdr:rowOff>
    </xdr:to>
    <xdr:sp macro="" textlink="">
      <xdr:nvSpPr>
        <xdr:cNvPr id="401" name="Isosceles Triangle 400">
          <a:extLst>
            <a:ext uri="{FF2B5EF4-FFF2-40B4-BE49-F238E27FC236}">
              <a16:creationId xmlns:a16="http://schemas.microsoft.com/office/drawing/2014/main" id="{F203F69C-64F2-4551-92BA-67241C81FD35}"/>
            </a:ext>
          </a:extLst>
        </xdr:cNvPr>
        <xdr:cNvSpPr/>
      </xdr:nvSpPr>
      <xdr:spPr>
        <a:xfrm rot="10800000">
          <a:off x="11805722" y="6499827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115</xdr:row>
      <xdr:rowOff>196274</xdr:rowOff>
    </xdr:from>
    <xdr:to>
      <xdr:col>9</xdr:col>
      <xdr:colOff>877456</xdr:colOff>
      <xdr:row>115</xdr:row>
      <xdr:rowOff>346365</xdr:rowOff>
    </xdr:to>
    <xdr:sp macro="" textlink="">
      <xdr:nvSpPr>
        <xdr:cNvPr id="402" name="Isosceles Triangle 401">
          <a:extLst>
            <a:ext uri="{FF2B5EF4-FFF2-40B4-BE49-F238E27FC236}">
              <a16:creationId xmlns:a16="http://schemas.microsoft.com/office/drawing/2014/main" id="{410C1909-DA91-4955-B6CD-BCD0FB2FF30B}"/>
            </a:ext>
          </a:extLst>
        </xdr:cNvPr>
        <xdr:cNvSpPr/>
      </xdr:nvSpPr>
      <xdr:spPr>
        <a:xfrm rot="10800000">
          <a:off x="11805723" y="6500981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121</xdr:row>
      <xdr:rowOff>184727</xdr:rowOff>
    </xdr:from>
    <xdr:to>
      <xdr:col>9</xdr:col>
      <xdr:colOff>877455</xdr:colOff>
      <xdr:row>121</xdr:row>
      <xdr:rowOff>334818</xdr:rowOff>
    </xdr:to>
    <xdr:sp macro="" textlink="">
      <xdr:nvSpPr>
        <xdr:cNvPr id="403" name="Isosceles Triangle 402">
          <a:extLst>
            <a:ext uri="{FF2B5EF4-FFF2-40B4-BE49-F238E27FC236}">
              <a16:creationId xmlns:a16="http://schemas.microsoft.com/office/drawing/2014/main" id="{E5DFA508-37FA-42C3-B905-4B8E433D5AFA}"/>
            </a:ext>
          </a:extLst>
        </xdr:cNvPr>
        <xdr:cNvSpPr/>
      </xdr:nvSpPr>
      <xdr:spPr>
        <a:xfrm rot="10800000">
          <a:off x="11805722" y="6845992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121</xdr:row>
      <xdr:rowOff>196274</xdr:rowOff>
    </xdr:from>
    <xdr:to>
      <xdr:col>9</xdr:col>
      <xdr:colOff>877456</xdr:colOff>
      <xdr:row>121</xdr:row>
      <xdr:rowOff>346365</xdr:rowOff>
    </xdr:to>
    <xdr:sp macro="" textlink="">
      <xdr:nvSpPr>
        <xdr:cNvPr id="404" name="Isosceles Triangle 403">
          <a:extLst>
            <a:ext uri="{FF2B5EF4-FFF2-40B4-BE49-F238E27FC236}">
              <a16:creationId xmlns:a16="http://schemas.microsoft.com/office/drawing/2014/main" id="{08E0612B-5E17-40B8-88AC-654DCEE3F2EC}"/>
            </a:ext>
          </a:extLst>
        </xdr:cNvPr>
        <xdr:cNvSpPr/>
      </xdr:nvSpPr>
      <xdr:spPr>
        <a:xfrm rot="10800000">
          <a:off x="11805723" y="6847147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121</xdr:row>
      <xdr:rowOff>184727</xdr:rowOff>
    </xdr:from>
    <xdr:to>
      <xdr:col>9</xdr:col>
      <xdr:colOff>877455</xdr:colOff>
      <xdr:row>121</xdr:row>
      <xdr:rowOff>334818</xdr:rowOff>
    </xdr:to>
    <xdr:sp macro="" textlink="">
      <xdr:nvSpPr>
        <xdr:cNvPr id="405" name="Isosceles Triangle 404">
          <a:extLst>
            <a:ext uri="{FF2B5EF4-FFF2-40B4-BE49-F238E27FC236}">
              <a16:creationId xmlns:a16="http://schemas.microsoft.com/office/drawing/2014/main" id="{D49B3937-ED04-4577-903F-D7F0EC09172A}"/>
            </a:ext>
          </a:extLst>
        </xdr:cNvPr>
        <xdr:cNvSpPr/>
      </xdr:nvSpPr>
      <xdr:spPr>
        <a:xfrm rot="10800000">
          <a:off x="11805722" y="6845992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121</xdr:row>
      <xdr:rowOff>196274</xdr:rowOff>
    </xdr:from>
    <xdr:to>
      <xdr:col>9</xdr:col>
      <xdr:colOff>877456</xdr:colOff>
      <xdr:row>121</xdr:row>
      <xdr:rowOff>346365</xdr:rowOff>
    </xdr:to>
    <xdr:sp macro="" textlink="">
      <xdr:nvSpPr>
        <xdr:cNvPr id="406" name="Isosceles Triangle 405">
          <a:extLst>
            <a:ext uri="{FF2B5EF4-FFF2-40B4-BE49-F238E27FC236}">
              <a16:creationId xmlns:a16="http://schemas.microsoft.com/office/drawing/2014/main" id="{97AC6AB1-9167-4871-ADE0-82AAC8F52359}"/>
            </a:ext>
          </a:extLst>
        </xdr:cNvPr>
        <xdr:cNvSpPr/>
      </xdr:nvSpPr>
      <xdr:spPr>
        <a:xfrm rot="10800000">
          <a:off x="11805723" y="6847147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127</xdr:row>
      <xdr:rowOff>184727</xdr:rowOff>
    </xdr:from>
    <xdr:to>
      <xdr:col>9</xdr:col>
      <xdr:colOff>877455</xdr:colOff>
      <xdr:row>127</xdr:row>
      <xdr:rowOff>334818</xdr:rowOff>
    </xdr:to>
    <xdr:sp macro="" textlink="">
      <xdr:nvSpPr>
        <xdr:cNvPr id="407" name="Isosceles Triangle 406">
          <a:extLst>
            <a:ext uri="{FF2B5EF4-FFF2-40B4-BE49-F238E27FC236}">
              <a16:creationId xmlns:a16="http://schemas.microsoft.com/office/drawing/2014/main" id="{73386524-33EB-4DC0-8C5D-307FC03B3DC4}"/>
            </a:ext>
          </a:extLst>
        </xdr:cNvPr>
        <xdr:cNvSpPr/>
      </xdr:nvSpPr>
      <xdr:spPr>
        <a:xfrm rot="10800000">
          <a:off x="11805722" y="7199778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127</xdr:row>
      <xdr:rowOff>196274</xdr:rowOff>
    </xdr:from>
    <xdr:to>
      <xdr:col>9</xdr:col>
      <xdr:colOff>877456</xdr:colOff>
      <xdr:row>127</xdr:row>
      <xdr:rowOff>346365</xdr:rowOff>
    </xdr:to>
    <xdr:sp macro="" textlink="">
      <xdr:nvSpPr>
        <xdr:cNvPr id="408" name="Isosceles Triangle 407">
          <a:extLst>
            <a:ext uri="{FF2B5EF4-FFF2-40B4-BE49-F238E27FC236}">
              <a16:creationId xmlns:a16="http://schemas.microsoft.com/office/drawing/2014/main" id="{7B810016-E393-4FAD-AB5B-C8B248C157B4}"/>
            </a:ext>
          </a:extLst>
        </xdr:cNvPr>
        <xdr:cNvSpPr/>
      </xdr:nvSpPr>
      <xdr:spPr>
        <a:xfrm rot="10800000">
          <a:off x="11805723" y="7200933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127</xdr:row>
      <xdr:rowOff>184727</xdr:rowOff>
    </xdr:from>
    <xdr:to>
      <xdr:col>9</xdr:col>
      <xdr:colOff>877455</xdr:colOff>
      <xdr:row>127</xdr:row>
      <xdr:rowOff>334818</xdr:rowOff>
    </xdr:to>
    <xdr:sp macro="" textlink="">
      <xdr:nvSpPr>
        <xdr:cNvPr id="409" name="Isosceles Triangle 408">
          <a:extLst>
            <a:ext uri="{FF2B5EF4-FFF2-40B4-BE49-F238E27FC236}">
              <a16:creationId xmlns:a16="http://schemas.microsoft.com/office/drawing/2014/main" id="{1EA566B4-FC72-4C1C-9201-A65EFF94820D}"/>
            </a:ext>
          </a:extLst>
        </xdr:cNvPr>
        <xdr:cNvSpPr/>
      </xdr:nvSpPr>
      <xdr:spPr>
        <a:xfrm rot="10800000">
          <a:off x="11805722" y="7199778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127</xdr:row>
      <xdr:rowOff>196274</xdr:rowOff>
    </xdr:from>
    <xdr:to>
      <xdr:col>9</xdr:col>
      <xdr:colOff>877456</xdr:colOff>
      <xdr:row>127</xdr:row>
      <xdr:rowOff>346365</xdr:rowOff>
    </xdr:to>
    <xdr:sp macro="" textlink="">
      <xdr:nvSpPr>
        <xdr:cNvPr id="410" name="Isosceles Triangle 409">
          <a:extLst>
            <a:ext uri="{FF2B5EF4-FFF2-40B4-BE49-F238E27FC236}">
              <a16:creationId xmlns:a16="http://schemas.microsoft.com/office/drawing/2014/main" id="{7B1DB231-59B2-40FB-BBE8-A7AEB3D833AA}"/>
            </a:ext>
          </a:extLst>
        </xdr:cNvPr>
        <xdr:cNvSpPr/>
      </xdr:nvSpPr>
      <xdr:spPr>
        <a:xfrm rot="10800000">
          <a:off x="11805723" y="7200933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133</xdr:row>
      <xdr:rowOff>184727</xdr:rowOff>
    </xdr:from>
    <xdr:to>
      <xdr:col>9</xdr:col>
      <xdr:colOff>877455</xdr:colOff>
      <xdr:row>133</xdr:row>
      <xdr:rowOff>334818</xdr:rowOff>
    </xdr:to>
    <xdr:sp macro="" textlink="">
      <xdr:nvSpPr>
        <xdr:cNvPr id="411" name="Isosceles Triangle 410">
          <a:extLst>
            <a:ext uri="{FF2B5EF4-FFF2-40B4-BE49-F238E27FC236}">
              <a16:creationId xmlns:a16="http://schemas.microsoft.com/office/drawing/2014/main" id="{EBF3C9D8-63C3-48B3-82C2-5ADBCA941F1D}"/>
            </a:ext>
          </a:extLst>
        </xdr:cNvPr>
        <xdr:cNvSpPr/>
      </xdr:nvSpPr>
      <xdr:spPr>
        <a:xfrm rot="10800000">
          <a:off x="11805722" y="7545944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133</xdr:row>
      <xdr:rowOff>196274</xdr:rowOff>
    </xdr:from>
    <xdr:to>
      <xdr:col>9</xdr:col>
      <xdr:colOff>877456</xdr:colOff>
      <xdr:row>133</xdr:row>
      <xdr:rowOff>346365</xdr:rowOff>
    </xdr:to>
    <xdr:sp macro="" textlink="">
      <xdr:nvSpPr>
        <xdr:cNvPr id="412" name="Isosceles Triangle 411">
          <a:extLst>
            <a:ext uri="{FF2B5EF4-FFF2-40B4-BE49-F238E27FC236}">
              <a16:creationId xmlns:a16="http://schemas.microsoft.com/office/drawing/2014/main" id="{AEE9185B-CA87-4B33-B88A-678F67412B61}"/>
            </a:ext>
          </a:extLst>
        </xdr:cNvPr>
        <xdr:cNvSpPr/>
      </xdr:nvSpPr>
      <xdr:spPr>
        <a:xfrm rot="10800000">
          <a:off x="11805723" y="7547098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133</xdr:row>
      <xdr:rowOff>184727</xdr:rowOff>
    </xdr:from>
    <xdr:to>
      <xdr:col>9</xdr:col>
      <xdr:colOff>877455</xdr:colOff>
      <xdr:row>133</xdr:row>
      <xdr:rowOff>334818</xdr:rowOff>
    </xdr:to>
    <xdr:sp macro="" textlink="">
      <xdr:nvSpPr>
        <xdr:cNvPr id="413" name="Isosceles Triangle 412">
          <a:extLst>
            <a:ext uri="{FF2B5EF4-FFF2-40B4-BE49-F238E27FC236}">
              <a16:creationId xmlns:a16="http://schemas.microsoft.com/office/drawing/2014/main" id="{30F4A9B2-22FD-4F9A-83A3-7EFBFAB28939}"/>
            </a:ext>
          </a:extLst>
        </xdr:cNvPr>
        <xdr:cNvSpPr/>
      </xdr:nvSpPr>
      <xdr:spPr>
        <a:xfrm rot="10800000">
          <a:off x="11805722" y="7545944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133</xdr:row>
      <xdr:rowOff>196274</xdr:rowOff>
    </xdr:from>
    <xdr:to>
      <xdr:col>9</xdr:col>
      <xdr:colOff>877456</xdr:colOff>
      <xdr:row>133</xdr:row>
      <xdr:rowOff>346365</xdr:rowOff>
    </xdr:to>
    <xdr:sp macro="" textlink="">
      <xdr:nvSpPr>
        <xdr:cNvPr id="414" name="Isosceles Triangle 413">
          <a:extLst>
            <a:ext uri="{FF2B5EF4-FFF2-40B4-BE49-F238E27FC236}">
              <a16:creationId xmlns:a16="http://schemas.microsoft.com/office/drawing/2014/main" id="{5285AECA-01CB-4A47-B6D5-CAF06A7E6F9D}"/>
            </a:ext>
          </a:extLst>
        </xdr:cNvPr>
        <xdr:cNvSpPr/>
      </xdr:nvSpPr>
      <xdr:spPr>
        <a:xfrm rot="10800000">
          <a:off x="11805723" y="7547098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139</xdr:row>
      <xdr:rowOff>184727</xdr:rowOff>
    </xdr:from>
    <xdr:to>
      <xdr:col>9</xdr:col>
      <xdr:colOff>877455</xdr:colOff>
      <xdr:row>139</xdr:row>
      <xdr:rowOff>334818</xdr:rowOff>
    </xdr:to>
    <xdr:sp macro="" textlink="">
      <xdr:nvSpPr>
        <xdr:cNvPr id="415" name="Isosceles Triangle 414">
          <a:extLst>
            <a:ext uri="{FF2B5EF4-FFF2-40B4-BE49-F238E27FC236}">
              <a16:creationId xmlns:a16="http://schemas.microsoft.com/office/drawing/2014/main" id="{1DA6886C-DF49-4DE7-92D2-9E9221B844D5}"/>
            </a:ext>
          </a:extLst>
        </xdr:cNvPr>
        <xdr:cNvSpPr/>
      </xdr:nvSpPr>
      <xdr:spPr>
        <a:xfrm rot="10800000">
          <a:off x="11805722" y="7892109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139</xdr:row>
      <xdr:rowOff>196274</xdr:rowOff>
    </xdr:from>
    <xdr:to>
      <xdr:col>9</xdr:col>
      <xdr:colOff>877456</xdr:colOff>
      <xdr:row>139</xdr:row>
      <xdr:rowOff>346365</xdr:rowOff>
    </xdr:to>
    <xdr:sp macro="" textlink="">
      <xdr:nvSpPr>
        <xdr:cNvPr id="416" name="Isosceles Triangle 415">
          <a:extLst>
            <a:ext uri="{FF2B5EF4-FFF2-40B4-BE49-F238E27FC236}">
              <a16:creationId xmlns:a16="http://schemas.microsoft.com/office/drawing/2014/main" id="{E3A485AC-7FE4-4850-AFC4-97E4C6E2977A}"/>
            </a:ext>
          </a:extLst>
        </xdr:cNvPr>
        <xdr:cNvSpPr/>
      </xdr:nvSpPr>
      <xdr:spPr>
        <a:xfrm rot="10800000">
          <a:off x="11805723" y="78932645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139</xdr:row>
      <xdr:rowOff>184727</xdr:rowOff>
    </xdr:from>
    <xdr:to>
      <xdr:col>9</xdr:col>
      <xdr:colOff>877455</xdr:colOff>
      <xdr:row>139</xdr:row>
      <xdr:rowOff>334818</xdr:rowOff>
    </xdr:to>
    <xdr:sp macro="" textlink="">
      <xdr:nvSpPr>
        <xdr:cNvPr id="417" name="Isosceles Triangle 416">
          <a:extLst>
            <a:ext uri="{FF2B5EF4-FFF2-40B4-BE49-F238E27FC236}">
              <a16:creationId xmlns:a16="http://schemas.microsoft.com/office/drawing/2014/main" id="{072A0C29-48E6-46E4-A199-8E820458B331}"/>
            </a:ext>
          </a:extLst>
        </xdr:cNvPr>
        <xdr:cNvSpPr/>
      </xdr:nvSpPr>
      <xdr:spPr>
        <a:xfrm rot="10800000">
          <a:off x="11805722" y="7892109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139</xdr:row>
      <xdr:rowOff>196274</xdr:rowOff>
    </xdr:from>
    <xdr:to>
      <xdr:col>9</xdr:col>
      <xdr:colOff>877456</xdr:colOff>
      <xdr:row>139</xdr:row>
      <xdr:rowOff>346365</xdr:rowOff>
    </xdr:to>
    <xdr:sp macro="" textlink="">
      <xdr:nvSpPr>
        <xdr:cNvPr id="418" name="Isosceles Triangle 417">
          <a:extLst>
            <a:ext uri="{FF2B5EF4-FFF2-40B4-BE49-F238E27FC236}">
              <a16:creationId xmlns:a16="http://schemas.microsoft.com/office/drawing/2014/main" id="{BEBE837E-60EF-4ACE-9D71-02796755A15D}"/>
            </a:ext>
          </a:extLst>
        </xdr:cNvPr>
        <xdr:cNvSpPr/>
      </xdr:nvSpPr>
      <xdr:spPr>
        <a:xfrm rot="10800000">
          <a:off x="11805723" y="78932645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145</xdr:row>
      <xdr:rowOff>184727</xdr:rowOff>
    </xdr:from>
    <xdr:to>
      <xdr:col>9</xdr:col>
      <xdr:colOff>877455</xdr:colOff>
      <xdr:row>145</xdr:row>
      <xdr:rowOff>334818</xdr:rowOff>
    </xdr:to>
    <xdr:sp macro="" textlink="">
      <xdr:nvSpPr>
        <xdr:cNvPr id="419" name="Isosceles Triangle 418">
          <a:extLst>
            <a:ext uri="{FF2B5EF4-FFF2-40B4-BE49-F238E27FC236}">
              <a16:creationId xmlns:a16="http://schemas.microsoft.com/office/drawing/2014/main" id="{BE492038-8127-466E-B916-D1FA34165A0F}"/>
            </a:ext>
          </a:extLst>
        </xdr:cNvPr>
        <xdr:cNvSpPr/>
      </xdr:nvSpPr>
      <xdr:spPr>
        <a:xfrm rot="10800000">
          <a:off x="11805722" y="82382756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145</xdr:row>
      <xdr:rowOff>196274</xdr:rowOff>
    </xdr:from>
    <xdr:to>
      <xdr:col>9</xdr:col>
      <xdr:colOff>877456</xdr:colOff>
      <xdr:row>145</xdr:row>
      <xdr:rowOff>346365</xdr:rowOff>
    </xdr:to>
    <xdr:sp macro="" textlink="">
      <xdr:nvSpPr>
        <xdr:cNvPr id="420" name="Isosceles Triangle 419">
          <a:extLst>
            <a:ext uri="{FF2B5EF4-FFF2-40B4-BE49-F238E27FC236}">
              <a16:creationId xmlns:a16="http://schemas.microsoft.com/office/drawing/2014/main" id="{6E3E4827-6823-4309-A55D-E8F30B923196}"/>
            </a:ext>
          </a:extLst>
        </xdr:cNvPr>
        <xdr:cNvSpPr/>
      </xdr:nvSpPr>
      <xdr:spPr>
        <a:xfrm rot="10800000">
          <a:off x="11805723" y="8239430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145</xdr:row>
      <xdr:rowOff>184727</xdr:rowOff>
    </xdr:from>
    <xdr:to>
      <xdr:col>9</xdr:col>
      <xdr:colOff>877455</xdr:colOff>
      <xdr:row>145</xdr:row>
      <xdr:rowOff>334818</xdr:rowOff>
    </xdr:to>
    <xdr:sp macro="" textlink="">
      <xdr:nvSpPr>
        <xdr:cNvPr id="421" name="Isosceles Triangle 420">
          <a:extLst>
            <a:ext uri="{FF2B5EF4-FFF2-40B4-BE49-F238E27FC236}">
              <a16:creationId xmlns:a16="http://schemas.microsoft.com/office/drawing/2014/main" id="{42CF69FC-2A59-4208-8037-C469B701BB55}"/>
            </a:ext>
          </a:extLst>
        </xdr:cNvPr>
        <xdr:cNvSpPr/>
      </xdr:nvSpPr>
      <xdr:spPr>
        <a:xfrm rot="10800000">
          <a:off x="11805722" y="82382756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145</xdr:row>
      <xdr:rowOff>196274</xdr:rowOff>
    </xdr:from>
    <xdr:to>
      <xdr:col>9</xdr:col>
      <xdr:colOff>877456</xdr:colOff>
      <xdr:row>145</xdr:row>
      <xdr:rowOff>346365</xdr:rowOff>
    </xdr:to>
    <xdr:sp macro="" textlink="">
      <xdr:nvSpPr>
        <xdr:cNvPr id="422" name="Isosceles Triangle 421">
          <a:extLst>
            <a:ext uri="{FF2B5EF4-FFF2-40B4-BE49-F238E27FC236}">
              <a16:creationId xmlns:a16="http://schemas.microsoft.com/office/drawing/2014/main" id="{E9A80D47-FC34-42BA-BF12-3E81246D98DB}"/>
            </a:ext>
          </a:extLst>
        </xdr:cNvPr>
        <xdr:cNvSpPr/>
      </xdr:nvSpPr>
      <xdr:spPr>
        <a:xfrm rot="10800000">
          <a:off x="11805723" y="8239430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151</xdr:row>
      <xdr:rowOff>184727</xdr:rowOff>
    </xdr:from>
    <xdr:to>
      <xdr:col>9</xdr:col>
      <xdr:colOff>877455</xdr:colOff>
      <xdr:row>151</xdr:row>
      <xdr:rowOff>334818</xdr:rowOff>
    </xdr:to>
    <xdr:sp macro="" textlink="">
      <xdr:nvSpPr>
        <xdr:cNvPr id="423" name="Isosceles Triangle 422">
          <a:extLst>
            <a:ext uri="{FF2B5EF4-FFF2-40B4-BE49-F238E27FC236}">
              <a16:creationId xmlns:a16="http://schemas.microsoft.com/office/drawing/2014/main" id="{DB7399CC-63ED-4DF9-8202-DB0B2B6F582E}"/>
            </a:ext>
          </a:extLst>
        </xdr:cNvPr>
        <xdr:cNvSpPr/>
      </xdr:nvSpPr>
      <xdr:spPr>
        <a:xfrm rot="10800000">
          <a:off x="11805722" y="8584441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151</xdr:row>
      <xdr:rowOff>196274</xdr:rowOff>
    </xdr:from>
    <xdr:to>
      <xdr:col>9</xdr:col>
      <xdr:colOff>877456</xdr:colOff>
      <xdr:row>151</xdr:row>
      <xdr:rowOff>346365</xdr:rowOff>
    </xdr:to>
    <xdr:sp macro="" textlink="">
      <xdr:nvSpPr>
        <xdr:cNvPr id="424" name="Isosceles Triangle 423">
          <a:extLst>
            <a:ext uri="{FF2B5EF4-FFF2-40B4-BE49-F238E27FC236}">
              <a16:creationId xmlns:a16="http://schemas.microsoft.com/office/drawing/2014/main" id="{3CBAAC01-D2E8-49AA-8D65-A92BD9AFEA3A}"/>
            </a:ext>
          </a:extLst>
        </xdr:cNvPr>
        <xdr:cNvSpPr/>
      </xdr:nvSpPr>
      <xdr:spPr>
        <a:xfrm rot="10800000">
          <a:off x="11805723" y="8585596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151</xdr:row>
      <xdr:rowOff>184727</xdr:rowOff>
    </xdr:from>
    <xdr:to>
      <xdr:col>9</xdr:col>
      <xdr:colOff>877455</xdr:colOff>
      <xdr:row>151</xdr:row>
      <xdr:rowOff>334818</xdr:rowOff>
    </xdr:to>
    <xdr:sp macro="" textlink="">
      <xdr:nvSpPr>
        <xdr:cNvPr id="425" name="Isosceles Triangle 424">
          <a:extLst>
            <a:ext uri="{FF2B5EF4-FFF2-40B4-BE49-F238E27FC236}">
              <a16:creationId xmlns:a16="http://schemas.microsoft.com/office/drawing/2014/main" id="{41E13C20-15C9-4EF9-83CF-8CC071AC9FE8}"/>
            </a:ext>
          </a:extLst>
        </xdr:cNvPr>
        <xdr:cNvSpPr/>
      </xdr:nvSpPr>
      <xdr:spPr>
        <a:xfrm rot="10800000">
          <a:off x="11805722" y="85844413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151</xdr:row>
      <xdr:rowOff>196274</xdr:rowOff>
    </xdr:from>
    <xdr:to>
      <xdr:col>9</xdr:col>
      <xdr:colOff>877456</xdr:colOff>
      <xdr:row>151</xdr:row>
      <xdr:rowOff>346365</xdr:rowOff>
    </xdr:to>
    <xdr:sp macro="" textlink="">
      <xdr:nvSpPr>
        <xdr:cNvPr id="426" name="Isosceles Triangle 425">
          <a:extLst>
            <a:ext uri="{FF2B5EF4-FFF2-40B4-BE49-F238E27FC236}">
              <a16:creationId xmlns:a16="http://schemas.microsoft.com/office/drawing/2014/main" id="{8DB46B43-55E6-411E-B3D2-91117902B6D3}"/>
            </a:ext>
          </a:extLst>
        </xdr:cNvPr>
        <xdr:cNvSpPr/>
      </xdr:nvSpPr>
      <xdr:spPr>
        <a:xfrm rot="10800000">
          <a:off x="11805723" y="8585596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157</xdr:row>
      <xdr:rowOff>184727</xdr:rowOff>
    </xdr:from>
    <xdr:to>
      <xdr:col>9</xdr:col>
      <xdr:colOff>877455</xdr:colOff>
      <xdr:row>157</xdr:row>
      <xdr:rowOff>334818</xdr:rowOff>
    </xdr:to>
    <xdr:sp macro="" textlink="">
      <xdr:nvSpPr>
        <xdr:cNvPr id="427" name="Isosceles Triangle 426">
          <a:extLst>
            <a:ext uri="{FF2B5EF4-FFF2-40B4-BE49-F238E27FC236}">
              <a16:creationId xmlns:a16="http://schemas.microsoft.com/office/drawing/2014/main" id="{E3B1E960-D235-45B9-9D93-ED154F6FAB98}"/>
            </a:ext>
          </a:extLst>
        </xdr:cNvPr>
        <xdr:cNvSpPr/>
      </xdr:nvSpPr>
      <xdr:spPr>
        <a:xfrm rot="10800000">
          <a:off x="11805722" y="8930607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157</xdr:row>
      <xdr:rowOff>196274</xdr:rowOff>
    </xdr:from>
    <xdr:to>
      <xdr:col>9</xdr:col>
      <xdr:colOff>877456</xdr:colOff>
      <xdr:row>157</xdr:row>
      <xdr:rowOff>346365</xdr:rowOff>
    </xdr:to>
    <xdr:sp macro="" textlink="">
      <xdr:nvSpPr>
        <xdr:cNvPr id="428" name="Isosceles Triangle 427">
          <a:extLst>
            <a:ext uri="{FF2B5EF4-FFF2-40B4-BE49-F238E27FC236}">
              <a16:creationId xmlns:a16="http://schemas.microsoft.com/office/drawing/2014/main" id="{F05349AB-EE8B-4FA9-9EAA-63684A8535FD}"/>
            </a:ext>
          </a:extLst>
        </xdr:cNvPr>
        <xdr:cNvSpPr/>
      </xdr:nvSpPr>
      <xdr:spPr>
        <a:xfrm rot="10800000">
          <a:off x="11805723" y="8931761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157</xdr:row>
      <xdr:rowOff>184727</xdr:rowOff>
    </xdr:from>
    <xdr:to>
      <xdr:col>9</xdr:col>
      <xdr:colOff>877455</xdr:colOff>
      <xdr:row>157</xdr:row>
      <xdr:rowOff>334818</xdr:rowOff>
    </xdr:to>
    <xdr:sp macro="" textlink="">
      <xdr:nvSpPr>
        <xdr:cNvPr id="429" name="Isosceles Triangle 428">
          <a:extLst>
            <a:ext uri="{FF2B5EF4-FFF2-40B4-BE49-F238E27FC236}">
              <a16:creationId xmlns:a16="http://schemas.microsoft.com/office/drawing/2014/main" id="{5E97EBA1-15DE-442A-89E2-31D81C33D0F5}"/>
            </a:ext>
          </a:extLst>
        </xdr:cNvPr>
        <xdr:cNvSpPr/>
      </xdr:nvSpPr>
      <xdr:spPr>
        <a:xfrm rot="10800000">
          <a:off x="11805722" y="89306070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157</xdr:row>
      <xdr:rowOff>196274</xdr:rowOff>
    </xdr:from>
    <xdr:to>
      <xdr:col>9</xdr:col>
      <xdr:colOff>877456</xdr:colOff>
      <xdr:row>157</xdr:row>
      <xdr:rowOff>346365</xdr:rowOff>
    </xdr:to>
    <xdr:sp macro="" textlink="">
      <xdr:nvSpPr>
        <xdr:cNvPr id="430" name="Isosceles Triangle 429">
          <a:extLst>
            <a:ext uri="{FF2B5EF4-FFF2-40B4-BE49-F238E27FC236}">
              <a16:creationId xmlns:a16="http://schemas.microsoft.com/office/drawing/2014/main" id="{9DF01071-07BE-4D32-B76D-095B27DCC651}"/>
            </a:ext>
          </a:extLst>
        </xdr:cNvPr>
        <xdr:cNvSpPr/>
      </xdr:nvSpPr>
      <xdr:spPr>
        <a:xfrm rot="10800000">
          <a:off x="11805723" y="8931761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163</xdr:row>
      <xdr:rowOff>184727</xdr:rowOff>
    </xdr:from>
    <xdr:to>
      <xdr:col>9</xdr:col>
      <xdr:colOff>877455</xdr:colOff>
      <xdr:row>163</xdr:row>
      <xdr:rowOff>334818</xdr:rowOff>
    </xdr:to>
    <xdr:sp macro="" textlink="">
      <xdr:nvSpPr>
        <xdr:cNvPr id="431" name="Isosceles Triangle 430">
          <a:extLst>
            <a:ext uri="{FF2B5EF4-FFF2-40B4-BE49-F238E27FC236}">
              <a16:creationId xmlns:a16="http://schemas.microsoft.com/office/drawing/2014/main" id="{D223DCD3-5CA1-41F6-B572-BE5A6148648A}"/>
            </a:ext>
          </a:extLst>
        </xdr:cNvPr>
        <xdr:cNvSpPr/>
      </xdr:nvSpPr>
      <xdr:spPr>
        <a:xfrm rot="10800000">
          <a:off x="11805722" y="9276772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163</xdr:row>
      <xdr:rowOff>196274</xdr:rowOff>
    </xdr:from>
    <xdr:to>
      <xdr:col>9</xdr:col>
      <xdr:colOff>877456</xdr:colOff>
      <xdr:row>163</xdr:row>
      <xdr:rowOff>346365</xdr:rowOff>
    </xdr:to>
    <xdr:sp macro="" textlink="">
      <xdr:nvSpPr>
        <xdr:cNvPr id="432" name="Isosceles Triangle 431">
          <a:extLst>
            <a:ext uri="{FF2B5EF4-FFF2-40B4-BE49-F238E27FC236}">
              <a16:creationId xmlns:a16="http://schemas.microsoft.com/office/drawing/2014/main" id="{5D3AEC12-BAF0-4C98-A052-74A7AAFDE53D}"/>
            </a:ext>
          </a:extLst>
        </xdr:cNvPr>
        <xdr:cNvSpPr/>
      </xdr:nvSpPr>
      <xdr:spPr>
        <a:xfrm rot="10800000">
          <a:off x="11805723" y="9277927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163</xdr:row>
      <xdr:rowOff>184727</xdr:rowOff>
    </xdr:from>
    <xdr:to>
      <xdr:col>9</xdr:col>
      <xdr:colOff>877455</xdr:colOff>
      <xdr:row>163</xdr:row>
      <xdr:rowOff>334818</xdr:rowOff>
    </xdr:to>
    <xdr:sp macro="" textlink="">
      <xdr:nvSpPr>
        <xdr:cNvPr id="433" name="Isosceles Triangle 432">
          <a:extLst>
            <a:ext uri="{FF2B5EF4-FFF2-40B4-BE49-F238E27FC236}">
              <a16:creationId xmlns:a16="http://schemas.microsoft.com/office/drawing/2014/main" id="{4E622D36-98EB-4DE9-972F-C91CCA296A4D}"/>
            </a:ext>
          </a:extLst>
        </xdr:cNvPr>
        <xdr:cNvSpPr/>
      </xdr:nvSpPr>
      <xdr:spPr>
        <a:xfrm rot="10800000">
          <a:off x="11805722" y="92767727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163</xdr:row>
      <xdr:rowOff>196274</xdr:rowOff>
    </xdr:from>
    <xdr:to>
      <xdr:col>9</xdr:col>
      <xdr:colOff>877456</xdr:colOff>
      <xdr:row>163</xdr:row>
      <xdr:rowOff>346365</xdr:rowOff>
    </xdr:to>
    <xdr:sp macro="" textlink="">
      <xdr:nvSpPr>
        <xdr:cNvPr id="434" name="Isosceles Triangle 433">
          <a:extLst>
            <a:ext uri="{FF2B5EF4-FFF2-40B4-BE49-F238E27FC236}">
              <a16:creationId xmlns:a16="http://schemas.microsoft.com/office/drawing/2014/main" id="{8C8F324F-E412-47FB-88B4-7EB782CB31F1}"/>
            </a:ext>
          </a:extLst>
        </xdr:cNvPr>
        <xdr:cNvSpPr/>
      </xdr:nvSpPr>
      <xdr:spPr>
        <a:xfrm rot="10800000">
          <a:off x="11805723" y="9277927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169</xdr:row>
      <xdr:rowOff>184727</xdr:rowOff>
    </xdr:from>
    <xdr:to>
      <xdr:col>9</xdr:col>
      <xdr:colOff>877455</xdr:colOff>
      <xdr:row>169</xdr:row>
      <xdr:rowOff>334818</xdr:rowOff>
    </xdr:to>
    <xdr:sp macro="" textlink="">
      <xdr:nvSpPr>
        <xdr:cNvPr id="435" name="Isosceles Triangle 434">
          <a:extLst>
            <a:ext uri="{FF2B5EF4-FFF2-40B4-BE49-F238E27FC236}">
              <a16:creationId xmlns:a16="http://schemas.microsoft.com/office/drawing/2014/main" id="{2CAC265E-E5BE-4D79-A979-1AD03748CECF}"/>
            </a:ext>
          </a:extLst>
        </xdr:cNvPr>
        <xdr:cNvSpPr/>
      </xdr:nvSpPr>
      <xdr:spPr>
        <a:xfrm rot="10800000">
          <a:off x="11805722" y="9622938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169</xdr:row>
      <xdr:rowOff>196274</xdr:rowOff>
    </xdr:from>
    <xdr:to>
      <xdr:col>9</xdr:col>
      <xdr:colOff>877456</xdr:colOff>
      <xdr:row>169</xdr:row>
      <xdr:rowOff>346365</xdr:rowOff>
    </xdr:to>
    <xdr:sp macro="" textlink="">
      <xdr:nvSpPr>
        <xdr:cNvPr id="436" name="Isosceles Triangle 435">
          <a:extLst>
            <a:ext uri="{FF2B5EF4-FFF2-40B4-BE49-F238E27FC236}">
              <a16:creationId xmlns:a16="http://schemas.microsoft.com/office/drawing/2014/main" id="{B0CE1F8A-F199-4B88-8819-E330601271CD}"/>
            </a:ext>
          </a:extLst>
        </xdr:cNvPr>
        <xdr:cNvSpPr/>
      </xdr:nvSpPr>
      <xdr:spPr>
        <a:xfrm rot="10800000">
          <a:off x="11805723" y="9624093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169</xdr:row>
      <xdr:rowOff>184727</xdr:rowOff>
    </xdr:from>
    <xdr:to>
      <xdr:col>9</xdr:col>
      <xdr:colOff>877455</xdr:colOff>
      <xdr:row>169</xdr:row>
      <xdr:rowOff>334818</xdr:rowOff>
    </xdr:to>
    <xdr:sp macro="" textlink="">
      <xdr:nvSpPr>
        <xdr:cNvPr id="437" name="Isosceles Triangle 436">
          <a:extLst>
            <a:ext uri="{FF2B5EF4-FFF2-40B4-BE49-F238E27FC236}">
              <a16:creationId xmlns:a16="http://schemas.microsoft.com/office/drawing/2014/main" id="{E8AEF214-C688-429A-A2E2-27E2BA7E9415}"/>
            </a:ext>
          </a:extLst>
        </xdr:cNvPr>
        <xdr:cNvSpPr/>
      </xdr:nvSpPr>
      <xdr:spPr>
        <a:xfrm rot="10800000">
          <a:off x="11805722" y="96229384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169</xdr:row>
      <xdr:rowOff>196274</xdr:rowOff>
    </xdr:from>
    <xdr:to>
      <xdr:col>9</xdr:col>
      <xdr:colOff>877456</xdr:colOff>
      <xdr:row>169</xdr:row>
      <xdr:rowOff>346365</xdr:rowOff>
    </xdr:to>
    <xdr:sp macro="" textlink="">
      <xdr:nvSpPr>
        <xdr:cNvPr id="438" name="Isosceles Triangle 437">
          <a:extLst>
            <a:ext uri="{FF2B5EF4-FFF2-40B4-BE49-F238E27FC236}">
              <a16:creationId xmlns:a16="http://schemas.microsoft.com/office/drawing/2014/main" id="{9EA09670-D945-4DD3-BEA4-412E709FB1CA}"/>
            </a:ext>
          </a:extLst>
        </xdr:cNvPr>
        <xdr:cNvSpPr/>
      </xdr:nvSpPr>
      <xdr:spPr>
        <a:xfrm rot="10800000">
          <a:off x="11805723" y="9624093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</xdr:row>
      <xdr:rowOff>196272</xdr:rowOff>
    </xdr:from>
    <xdr:to>
      <xdr:col>8</xdr:col>
      <xdr:colOff>2320636</xdr:colOff>
      <xdr:row>9</xdr:row>
      <xdr:rowOff>346363</xdr:rowOff>
    </xdr:to>
    <xdr:sp macro="" textlink="">
      <xdr:nvSpPr>
        <xdr:cNvPr id="439" name="Isosceles Triangle 438">
          <a:extLst>
            <a:ext uri="{FF2B5EF4-FFF2-40B4-BE49-F238E27FC236}">
              <a16:creationId xmlns:a16="http://schemas.microsoft.com/office/drawing/2014/main" id="{6F2F4E99-3BE2-469F-8DCA-C815F8D20C16}"/>
            </a:ext>
          </a:extLst>
        </xdr:cNvPr>
        <xdr:cNvSpPr/>
      </xdr:nvSpPr>
      <xdr:spPr>
        <a:xfrm rot="10800000">
          <a:off x="10788731" y="3777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</xdr:row>
      <xdr:rowOff>196272</xdr:rowOff>
    </xdr:from>
    <xdr:to>
      <xdr:col>8</xdr:col>
      <xdr:colOff>2320636</xdr:colOff>
      <xdr:row>10</xdr:row>
      <xdr:rowOff>346363</xdr:rowOff>
    </xdr:to>
    <xdr:sp macro="" textlink="">
      <xdr:nvSpPr>
        <xdr:cNvPr id="440" name="Isosceles Triangle 439">
          <a:extLst>
            <a:ext uri="{FF2B5EF4-FFF2-40B4-BE49-F238E27FC236}">
              <a16:creationId xmlns:a16="http://schemas.microsoft.com/office/drawing/2014/main" id="{2B6E8323-8DEC-4BB4-868D-D8555D3F25E4}"/>
            </a:ext>
          </a:extLst>
        </xdr:cNvPr>
        <xdr:cNvSpPr/>
      </xdr:nvSpPr>
      <xdr:spPr>
        <a:xfrm rot="10800000">
          <a:off x="10788731" y="4354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</xdr:row>
      <xdr:rowOff>196272</xdr:rowOff>
    </xdr:from>
    <xdr:to>
      <xdr:col>8</xdr:col>
      <xdr:colOff>2320636</xdr:colOff>
      <xdr:row>11</xdr:row>
      <xdr:rowOff>346363</xdr:rowOff>
    </xdr:to>
    <xdr:sp macro="" textlink="">
      <xdr:nvSpPr>
        <xdr:cNvPr id="441" name="Isosceles Triangle 440">
          <a:extLst>
            <a:ext uri="{FF2B5EF4-FFF2-40B4-BE49-F238E27FC236}">
              <a16:creationId xmlns:a16="http://schemas.microsoft.com/office/drawing/2014/main" id="{3F621C2A-874A-4751-A82F-AFF60E5EE9D1}"/>
            </a:ext>
          </a:extLst>
        </xdr:cNvPr>
        <xdr:cNvSpPr/>
      </xdr:nvSpPr>
      <xdr:spPr>
        <a:xfrm rot="10800000">
          <a:off x="10788731" y="4931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</xdr:row>
      <xdr:rowOff>196272</xdr:rowOff>
    </xdr:from>
    <xdr:to>
      <xdr:col>8</xdr:col>
      <xdr:colOff>2320636</xdr:colOff>
      <xdr:row>12</xdr:row>
      <xdr:rowOff>346363</xdr:rowOff>
    </xdr:to>
    <xdr:sp macro="" textlink="">
      <xdr:nvSpPr>
        <xdr:cNvPr id="442" name="Isosceles Triangle 441">
          <a:extLst>
            <a:ext uri="{FF2B5EF4-FFF2-40B4-BE49-F238E27FC236}">
              <a16:creationId xmlns:a16="http://schemas.microsoft.com/office/drawing/2014/main" id="{C2DE2F8C-ECC2-42D9-944D-E948C1AF171C}"/>
            </a:ext>
          </a:extLst>
        </xdr:cNvPr>
        <xdr:cNvSpPr/>
      </xdr:nvSpPr>
      <xdr:spPr>
        <a:xfrm rot="10800000">
          <a:off x="10788731" y="5508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</xdr:row>
      <xdr:rowOff>196272</xdr:rowOff>
    </xdr:from>
    <xdr:to>
      <xdr:col>10</xdr:col>
      <xdr:colOff>2320636</xdr:colOff>
      <xdr:row>9</xdr:row>
      <xdr:rowOff>346363</xdr:rowOff>
    </xdr:to>
    <xdr:sp macro="" textlink="">
      <xdr:nvSpPr>
        <xdr:cNvPr id="443" name="Isosceles Triangle 442">
          <a:extLst>
            <a:ext uri="{FF2B5EF4-FFF2-40B4-BE49-F238E27FC236}">
              <a16:creationId xmlns:a16="http://schemas.microsoft.com/office/drawing/2014/main" id="{2222DAF9-DE38-4F65-8FC4-E7EFB6A7D6C4}"/>
            </a:ext>
          </a:extLst>
        </xdr:cNvPr>
        <xdr:cNvSpPr/>
      </xdr:nvSpPr>
      <xdr:spPr>
        <a:xfrm rot="10800000">
          <a:off x="14250388" y="3777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</xdr:row>
      <xdr:rowOff>196272</xdr:rowOff>
    </xdr:from>
    <xdr:to>
      <xdr:col>10</xdr:col>
      <xdr:colOff>2320636</xdr:colOff>
      <xdr:row>10</xdr:row>
      <xdr:rowOff>346363</xdr:rowOff>
    </xdr:to>
    <xdr:sp macro="" textlink="">
      <xdr:nvSpPr>
        <xdr:cNvPr id="444" name="Isosceles Triangle 443">
          <a:extLst>
            <a:ext uri="{FF2B5EF4-FFF2-40B4-BE49-F238E27FC236}">
              <a16:creationId xmlns:a16="http://schemas.microsoft.com/office/drawing/2014/main" id="{503C70B5-A629-4D0A-B3C0-9C3F1C98C298}"/>
            </a:ext>
          </a:extLst>
        </xdr:cNvPr>
        <xdr:cNvSpPr/>
      </xdr:nvSpPr>
      <xdr:spPr>
        <a:xfrm rot="10800000">
          <a:off x="14250388" y="4354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</xdr:row>
      <xdr:rowOff>196272</xdr:rowOff>
    </xdr:from>
    <xdr:to>
      <xdr:col>10</xdr:col>
      <xdr:colOff>2320636</xdr:colOff>
      <xdr:row>11</xdr:row>
      <xdr:rowOff>346363</xdr:rowOff>
    </xdr:to>
    <xdr:sp macro="" textlink="">
      <xdr:nvSpPr>
        <xdr:cNvPr id="445" name="Isosceles Triangle 444">
          <a:extLst>
            <a:ext uri="{FF2B5EF4-FFF2-40B4-BE49-F238E27FC236}">
              <a16:creationId xmlns:a16="http://schemas.microsoft.com/office/drawing/2014/main" id="{314DC4C5-6638-4830-AECA-4EEA31FFCE72}"/>
            </a:ext>
          </a:extLst>
        </xdr:cNvPr>
        <xdr:cNvSpPr/>
      </xdr:nvSpPr>
      <xdr:spPr>
        <a:xfrm rot="10800000">
          <a:off x="14250388" y="4931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</xdr:row>
      <xdr:rowOff>196272</xdr:rowOff>
    </xdr:from>
    <xdr:to>
      <xdr:col>10</xdr:col>
      <xdr:colOff>2320636</xdr:colOff>
      <xdr:row>12</xdr:row>
      <xdr:rowOff>346363</xdr:rowOff>
    </xdr:to>
    <xdr:sp macro="" textlink="">
      <xdr:nvSpPr>
        <xdr:cNvPr id="446" name="Isosceles Triangle 445">
          <a:extLst>
            <a:ext uri="{FF2B5EF4-FFF2-40B4-BE49-F238E27FC236}">
              <a16:creationId xmlns:a16="http://schemas.microsoft.com/office/drawing/2014/main" id="{530366A0-E488-4A9F-9135-574F50C4C60D}"/>
            </a:ext>
          </a:extLst>
        </xdr:cNvPr>
        <xdr:cNvSpPr/>
      </xdr:nvSpPr>
      <xdr:spPr>
        <a:xfrm rot="10800000">
          <a:off x="14250388" y="5508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</xdr:row>
      <xdr:rowOff>196272</xdr:rowOff>
    </xdr:from>
    <xdr:to>
      <xdr:col>8</xdr:col>
      <xdr:colOff>2320636</xdr:colOff>
      <xdr:row>14</xdr:row>
      <xdr:rowOff>346363</xdr:rowOff>
    </xdr:to>
    <xdr:sp macro="" textlink="">
      <xdr:nvSpPr>
        <xdr:cNvPr id="447" name="Isosceles Triangle 446">
          <a:extLst>
            <a:ext uri="{FF2B5EF4-FFF2-40B4-BE49-F238E27FC236}">
              <a16:creationId xmlns:a16="http://schemas.microsoft.com/office/drawing/2014/main" id="{22B7218B-F9FD-4493-A1D4-DCF8C8C72680}"/>
            </a:ext>
          </a:extLst>
        </xdr:cNvPr>
        <xdr:cNvSpPr/>
      </xdr:nvSpPr>
      <xdr:spPr>
        <a:xfrm rot="10800000">
          <a:off x="10788731" y="6662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</xdr:row>
      <xdr:rowOff>196272</xdr:rowOff>
    </xdr:from>
    <xdr:to>
      <xdr:col>8</xdr:col>
      <xdr:colOff>2320636</xdr:colOff>
      <xdr:row>15</xdr:row>
      <xdr:rowOff>346363</xdr:rowOff>
    </xdr:to>
    <xdr:sp macro="" textlink="">
      <xdr:nvSpPr>
        <xdr:cNvPr id="448" name="Isosceles Triangle 447">
          <a:extLst>
            <a:ext uri="{FF2B5EF4-FFF2-40B4-BE49-F238E27FC236}">
              <a16:creationId xmlns:a16="http://schemas.microsoft.com/office/drawing/2014/main" id="{0208FF09-73E9-4513-9FEE-D59D549FD1A7}"/>
            </a:ext>
          </a:extLst>
        </xdr:cNvPr>
        <xdr:cNvSpPr/>
      </xdr:nvSpPr>
      <xdr:spPr>
        <a:xfrm rot="10800000">
          <a:off x="10788731" y="7239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</xdr:row>
      <xdr:rowOff>196272</xdr:rowOff>
    </xdr:from>
    <xdr:to>
      <xdr:col>8</xdr:col>
      <xdr:colOff>2320636</xdr:colOff>
      <xdr:row>16</xdr:row>
      <xdr:rowOff>346363</xdr:rowOff>
    </xdr:to>
    <xdr:sp macro="" textlink="">
      <xdr:nvSpPr>
        <xdr:cNvPr id="449" name="Isosceles Triangle 448">
          <a:extLst>
            <a:ext uri="{FF2B5EF4-FFF2-40B4-BE49-F238E27FC236}">
              <a16:creationId xmlns:a16="http://schemas.microsoft.com/office/drawing/2014/main" id="{D21A7C98-FBF2-43F5-B318-AFACA3689356}"/>
            </a:ext>
          </a:extLst>
        </xdr:cNvPr>
        <xdr:cNvSpPr/>
      </xdr:nvSpPr>
      <xdr:spPr>
        <a:xfrm rot="10800000">
          <a:off x="10788731" y="781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</xdr:row>
      <xdr:rowOff>196272</xdr:rowOff>
    </xdr:from>
    <xdr:to>
      <xdr:col>8</xdr:col>
      <xdr:colOff>2320636</xdr:colOff>
      <xdr:row>17</xdr:row>
      <xdr:rowOff>346363</xdr:rowOff>
    </xdr:to>
    <xdr:sp macro="" textlink="">
      <xdr:nvSpPr>
        <xdr:cNvPr id="450" name="Isosceles Triangle 449">
          <a:extLst>
            <a:ext uri="{FF2B5EF4-FFF2-40B4-BE49-F238E27FC236}">
              <a16:creationId xmlns:a16="http://schemas.microsoft.com/office/drawing/2014/main" id="{90CEF3FF-5D26-4BB1-A013-C7481D27E6FE}"/>
            </a:ext>
          </a:extLst>
        </xdr:cNvPr>
        <xdr:cNvSpPr/>
      </xdr:nvSpPr>
      <xdr:spPr>
        <a:xfrm rot="10800000">
          <a:off x="10788731" y="83932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18</xdr:row>
      <xdr:rowOff>196272</xdr:rowOff>
    </xdr:from>
    <xdr:to>
      <xdr:col>8</xdr:col>
      <xdr:colOff>2320636</xdr:colOff>
      <xdr:row>18</xdr:row>
      <xdr:rowOff>346363</xdr:rowOff>
    </xdr:to>
    <xdr:sp macro="" textlink="">
      <xdr:nvSpPr>
        <xdr:cNvPr id="451" name="Isosceles Triangle 450">
          <a:extLst>
            <a:ext uri="{FF2B5EF4-FFF2-40B4-BE49-F238E27FC236}">
              <a16:creationId xmlns:a16="http://schemas.microsoft.com/office/drawing/2014/main" id="{6AF84A71-8DD5-47F6-8235-4A4E04DF0F84}"/>
            </a:ext>
          </a:extLst>
        </xdr:cNvPr>
        <xdr:cNvSpPr/>
      </xdr:nvSpPr>
      <xdr:spPr>
        <a:xfrm rot="10800000">
          <a:off x="10788731" y="89701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</xdr:row>
      <xdr:rowOff>196272</xdr:rowOff>
    </xdr:from>
    <xdr:to>
      <xdr:col>8</xdr:col>
      <xdr:colOff>2320636</xdr:colOff>
      <xdr:row>15</xdr:row>
      <xdr:rowOff>346363</xdr:rowOff>
    </xdr:to>
    <xdr:sp macro="" textlink="">
      <xdr:nvSpPr>
        <xdr:cNvPr id="452" name="Isosceles Triangle 451">
          <a:extLst>
            <a:ext uri="{FF2B5EF4-FFF2-40B4-BE49-F238E27FC236}">
              <a16:creationId xmlns:a16="http://schemas.microsoft.com/office/drawing/2014/main" id="{51BB3022-6EE2-434F-8526-261AB4711DF9}"/>
            </a:ext>
          </a:extLst>
        </xdr:cNvPr>
        <xdr:cNvSpPr/>
      </xdr:nvSpPr>
      <xdr:spPr>
        <a:xfrm rot="10800000">
          <a:off x="10788731" y="7239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</xdr:row>
      <xdr:rowOff>196272</xdr:rowOff>
    </xdr:from>
    <xdr:to>
      <xdr:col>8</xdr:col>
      <xdr:colOff>2320636</xdr:colOff>
      <xdr:row>16</xdr:row>
      <xdr:rowOff>346363</xdr:rowOff>
    </xdr:to>
    <xdr:sp macro="" textlink="">
      <xdr:nvSpPr>
        <xdr:cNvPr id="453" name="Isosceles Triangle 452">
          <a:extLst>
            <a:ext uri="{FF2B5EF4-FFF2-40B4-BE49-F238E27FC236}">
              <a16:creationId xmlns:a16="http://schemas.microsoft.com/office/drawing/2014/main" id="{E1FBC0B2-9EE2-4694-A79E-1D39FB747F28}"/>
            </a:ext>
          </a:extLst>
        </xdr:cNvPr>
        <xdr:cNvSpPr/>
      </xdr:nvSpPr>
      <xdr:spPr>
        <a:xfrm rot="10800000">
          <a:off x="10788731" y="781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</xdr:row>
      <xdr:rowOff>196272</xdr:rowOff>
    </xdr:from>
    <xdr:to>
      <xdr:col>8</xdr:col>
      <xdr:colOff>2320636</xdr:colOff>
      <xdr:row>17</xdr:row>
      <xdr:rowOff>346363</xdr:rowOff>
    </xdr:to>
    <xdr:sp macro="" textlink="">
      <xdr:nvSpPr>
        <xdr:cNvPr id="454" name="Isosceles Triangle 453">
          <a:extLst>
            <a:ext uri="{FF2B5EF4-FFF2-40B4-BE49-F238E27FC236}">
              <a16:creationId xmlns:a16="http://schemas.microsoft.com/office/drawing/2014/main" id="{16BBB96E-F46B-4C12-9737-DB5E20A48315}"/>
            </a:ext>
          </a:extLst>
        </xdr:cNvPr>
        <xdr:cNvSpPr/>
      </xdr:nvSpPr>
      <xdr:spPr>
        <a:xfrm rot="10800000">
          <a:off x="10788731" y="83932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18</xdr:row>
      <xdr:rowOff>196272</xdr:rowOff>
    </xdr:from>
    <xdr:to>
      <xdr:col>8</xdr:col>
      <xdr:colOff>2320636</xdr:colOff>
      <xdr:row>18</xdr:row>
      <xdr:rowOff>346363</xdr:rowOff>
    </xdr:to>
    <xdr:sp macro="" textlink="">
      <xdr:nvSpPr>
        <xdr:cNvPr id="455" name="Isosceles Triangle 454">
          <a:extLst>
            <a:ext uri="{FF2B5EF4-FFF2-40B4-BE49-F238E27FC236}">
              <a16:creationId xmlns:a16="http://schemas.microsoft.com/office/drawing/2014/main" id="{CE15C234-52BC-42E7-9D0A-55810B4C9CC8}"/>
            </a:ext>
          </a:extLst>
        </xdr:cNvPr>
        <xdr:cNvSpPr/>
      </xdr:nvSpPr>
      <xdr:spPr>
        <a:xfrm rot="10800000">
          <a:off x="10788731" y="89701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</xdr:row>
      <xdr:rowOff>196272</xdr:rowOff>
    </xdr:from>
    <xdr:to>
      <xdr:col>8</xdr:col>
      <xdr:colOff>2320636</xdr:colOff>
      <xdr:row>14</xdr:row>
      <xdr:rowOff>346363</xdr:rowOff>
    </xdr:to>
    <xdr:sp macro="" textlink="">
      <xdr:nvSpPr>
        <xdr:cNvPr id="456" name="Isosceles Triangle 455">
          <a:extLst>
            <a:ext uri="{FF2B5EF4-FFF2-40B4-BE49-F238E27FC236}">
              <a16:creationId xmlns:a16="http://schemas.microsoft.com/office/drawing/2014/main" id="{E0ACA144-1802-4360-9A46-AB73184E85B7}"/>
            </a:ext>
          </a:extLst>
        </xdr:cNvPr>
        <xdr:cNvSpPr/>
      </xdr:nvSpPr>
      <xdr:spPr>
        <a:xfrm rot="10800000">
          <a:off x="10788731" y="6662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</xdr:row>
      <xdr:rowOff>196272</xdr:rowOff>
    </xdr:from>
    <xdr:to>
      <xdr:col>8</xdr:col>
      <xdr:colOff>2320636</xdr:colOff>
      <xdr:row>15</xdr:row>
      <xdr:rowOff>346363</xdr:rowOff>
    </xdr:to>
    <xdr:sp macro="" textlink="">
      <xdr:nvSpPr>
        <xdr:cNvPr id="457" name="Isosceles Triangle 456">
          <a:extLst>
            <a:ext uri="{FF2B5EF4-FFF2-40B4-BE49-F238E27FC236}">
              <a16:creationId xmlns:a16="http://schemas.microsoft.com/office/drawing/2014/main" id="{EC58D8B1-93EB-478E-A64F-0105F1C22DEC}"/>
            </a:ext>
          </a:extLst>
        </xdr:cNvPr>
        <xdr:cNvSpPr/>
      </xdr:nvSpPr>
      <xdr:spPr>
        <a:xfrm rot="10800000">
          <a:off x="10788731" y="7239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</xdr:row>
      <xdr:rowOff>196272</xdr:rowOff>
    </xdr:from>
    <xdr:to>
      <xdr:col>8</xdr:col>
      <xdr:colOff>2320636</xdr:colOff>
      <xdr:row>16</xdr:row>
      <xdr:rowOff>346363</xdr:rowOff>
    </xdr:to>
    <xdr:sp macro="" textlink="">
      <xdr:nvSpPr>
        <xdr:cNvPr id="458" name="Isosceles Triangle 457">
          <a:extLst>
            <a:ext uri="{FF2B5EF4-FFF2-40B4-BE49-F238E27FC236}">
              <a16:creationId xmlns:a16="http://schemas.microsoft.com/office/drawing/2014/main" id="{09B86662-BF09-43FA-A3DC-0350CCB0345D}"/>
            </a:ext>
          </a:extLst>
        </xdr:cNvPr>
        <xdr:cNvSpPr/>
      </xdr:nvSpPr>
      <xdr:spPr>
        <a:xfrm rot="10800000">
          <a:off x="10788731" y="781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</xdr:row>
      <xdr:rowOff>196272</xdr:rowOff>
    </xdr:from>
    <xdr:to>
      <xdr:col>8</xdr:col>
      <xdr:colOff>2320636</xdr:colOff>
      <xdr:row>17</xdr:row>
      <xdr:rowOff>346363</xdr:rowOff>
    </xdr:to>
    <xdr:sp macro="" textlink="">
      <xdr:nvSpPr>
        <xdr:cNvPr id="459" name="Isosceles Triangle 458">
          <a:extLst>
            <a:ext uri="{FF2B5EF4-FFF2-40B4-BE49-F238E27FC236}">
              <a16:creationId xmlns:a16="http://schemas.microsoft.com/office/drawing/2014/main" id="{E2555306-ED01-4336-8DDC-4264CDB402F8}"/>
            </a:ext>
          </a:extLst>
        </xdr:cNvPr>
        <xdr:cNvSpPr/>
      </xdr:nvSpPr>
      <xdr:spPr>
        <a:xfrm rot="10800000">
          <a:off x="10788731" y="83932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18</xdr:row>
      <xdr:rowOff>196272</xdr:rowOff>
    </xdr:from>
    <xdr:to>
      <xdr:col>8</xdr:col>
      <xdr:colOff>2320636</xdr:colOff>
      <xdr:row>18</xdr:row>
      <xdr:rowOff>346363</xdr:rowOff>
    </xdr:to>
    <xdr:sp macro="" textlink="">
      <xdr:nvSpPr>
        <xdr:cNvPr id="460" name="Isosceles Triangle 459">
          <a:extLst>
            <a:ext uri="{FF2B5EF4-FFF2-40B4-BE49-F238E27FC236}">
              <a16:creationId xmlns:a16="http://schemas.microsoft.com/office/drawing/2014/main" id="{C3EF5936-E8D2-447B-A532-055A3CB3D9B5}"/>
            </a:ext>
          </a:extLst>
        </xdr:cNvPr>
        <xdr:cNvSpPr/>
      </xdr:nvSpPr>
      <xdr:spPr>
        <a:xfrm rot="10800000">
          <a:off x="10788731" y="89701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15</xdr:row>
      <xdr:rowOff>196272</xdr:rowOff>
    </xdr:from>
    <xdr:to>
      <xdr:col>8</xdr:col>
      <xdr:colOff>2320636</xdr:colOff>
      <xdr:row>15</xdr:row>
      <xdr:rowOff>346363</xdr:rowOff>
    </xdr:to>
    <xdr:sp macro="" textlink="">
      <xdr:nvSpPr>
        <xdr:cNvPr id="461" name="Isosceles Triangle 460">
          <a:extLst>
            <a:ext uri="{FF2B5EF4-FFF2-40B4-BE49-F238E27FC236}">
              <a16:creationId xmlns:a16="http://schemas.microsoft.com/office/drawing/2014/main" id="{113624EC-88DA-47EB-A2A2-D831521DE771}"/>
            </a:ext>
          </a:extLst>
        </xdr:cNvPr>
        <xdr:cNvSpPr/>
      </xdr:nvSpPr>
      <xdr:spPr>
        <a:xfrm rot="10800000">
          <a:off x="10788731" y="7239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16</xdr:row>
      <xdr:rowOff>196272</xdr:rowOff>
    </xdr:from>
    <xdr:to>
      <xdr:col>8</xdr:col>
      <xdr:colOff>2320636</xdr:colOff>
      <xdr:row>16</xdr:row>
      <xdr:rowOff>346363</xdr:rowOff>
    </xdr:to>
    <xdr:sp macro="" textlink="">
      <xdr:nvSpPr>
        <xdr:cNvPr id="462" name="Isosceles Triangle 461">
          <a:extLst>
            <a:ext uri="{FF2B5EF4-FFF2-40B4-BE49-F238E27FC236}">
              <a16:creationId xmlns:a16="http://schemas.microsoft.com/office/drawing/2014/main" id="{04C4F194-4819-438D-BF8C-C1B3BC5484A0}"/>
            </a:ext>
          </a:extLst>
        </xdr:cNvPr>
        <xdr:cNvSpPr/>
      </xdr:nvSpPr>
      <xdr:spPr>
        <a:xfrm rot="10800000">
          <a:off x="10788731" y="781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</xdr:row>
      <xdr:rowOff>196272</xdr:rowOff>
    </xdr:from>
    <xdr:to>
      <xdr:col>8</xdr:col>
      <xdr:colOff>2320636</xdr:colOff>
      <xdr:row>17</xdr:row>
      <xdr:rowOff>346363</xdr:rowOff>
    </xdr:to>
    <xdr:sp macro="" textlink="">
      <xdr:nvSpPr>
        <xdr:cNvPr id="463" name="Isosceles Triangle 462">
          <a:extLst>
            <a:ext uri="{FF2B5EF4-FFF2-40B4-BE49-F238E27FC236}">
              <a16:creationId xmlns:a16="http://schemas.microsoft.com/office/drawing/2014/main" id="{1AFD63CA-5337-4C00-B507-3E310ABE1F2F}"/>
            </a:ext>
          </a:extLst>
        </xdr:cNvPr>
        <xdr:cNvSpPr/>
      </xdr:nvSpPr>
      <xdr:spPr>
        <a:xfrm rot="10800000">
          <a:off x="10788731" y="83932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18</xdr:row>
      <xdr:rowOff>196272</xdr:rowOff>
    </xdr:from>
    <xdr:to>
      <xdr:col>8</xdr:col>
      <xdr:colOff>2320636</xdr:colOff>
      <xdr:row>18</xdr:row>
      <xdr:rowOff>346363</xdr:rowOff>
    </xdr:to>
    <xdr:sp macro="" textlink="">
      <xdr:nvSpPr>
        <xdr:cNvPr id="464" name="Isosceles Triangle 463">
          <a:extLst>
            <a:ext uri="{FF2B5EF4-FFF2-40B4-BE49-F238E27FC236}">
              <a16:creationId xmlns:a16="http://schemas.microsoft.com/office/drawing/2014/main" id="{E35C06BB-33FF-4154-A768-8C140155F974}"/>
            </a:ext>
          </a:extLst>
        </xdr:cNvPr>
        <xdr:cNvSpPr/>
      </xdr:nvSpPr>
      <xdr:spPr>
        <a:xfrm rot="10800000">
          <a:off x="10788731" y="89701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</xdr:row>
      <xdr:rowOff>196272</xdr:rowOff>
    </xdr:from>
    <xdr:to>
      <xdr:col>10</xdr:col>
      <xdr:colOff>2320636</xdr:colOff>
      <xdr:row>14</xdr:row>
      <xdr:rowOff>346363</xdr:rowOff>
    </xdr:to>
    <xdr:sp macro="" textlink="">
      <xdr:nvSpPr>
        <xdr:cNvPr id="465" name="Isosceles Triangle 464">
          <a:extLst>
            <a:ext uri="{FF2B5EF4-FFF2-40B4-BE49-F238E27FC236}">
              <a16:creationId xmlns:a16="http://schemas.microsoft.com/office/drawing/2014/main" id="{B6C1630D-8CD9-4970-A536-9576C91E1187}"/>
            </a:ext>
          </a:extLst>
        </xdr:cNvPr>
        <xdr:cNvSpPr/>
      </xdr:nvSpPr>
      <xdr:spPr>
        <a:xfrm rot="10800000">
          <a:off x="14250388" y="6662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</xdr:row>
      <xdr:rowOff>196272</xdr:rowOff>
    </xdr:from>
    <xdr:to>
      <xdr:col>10</xdr:col>
      <xdr:colOff>2320636</xdr:colOff>
      <xdr:row>15</xdr:row>
      <xdr:rowOff>346363</xdr:rowOff>
    </xdr:to>
    <xdr:sp macro="" textlink="">
      <xdr:nvSpPr>
        <xdr:cNvPr id="466" name="Isosceles Triangle 465">
          <a:extLst>
            <a:ext uri="{FF2B5EF4-FFF2-40B4-BE49-F238E27FC236}">
              <a16:creationId xmlns:a16="http://schemas.microsoft.com/office/drawing/2014/main" id="{2355E28D-43BC-4E2B-BCE2-E6236AADE64B}"/>
            </a:ext>
          </a:extLst>
        </xdr:cNvPr>
        <xdr:cNvSpPr/>
      </xdr:nvSpPr>
      <xdr:spPr>
        <a:xfrm rot="10800000">
          <a:off x="14250388" y="7239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</xdr:row>
      <xdr:rowOff>196272</xdr:rowOff>
    </xdr:from>
    <xdr:to>
      <xdr:col>10</xdr:col>
      <xdr:colOff>2320636</xdr:colOff>
      <xdr:row>16</xdr:row>
      <xdr:rowOff>346363</xdr:rowOff>
    </xdr:to>
    <xdr:sp macro="" textlink="">
      <xdr:nvSpPr>
        <xdr:cNvPr id="467" name="Isosceles Triangle 466">
          <a:extLst>
            <a:ext uri="{FF2B5EF4-FFF2-40B4-BE49-F238E27FC236}">
              <a16:creationId xmlns:a16="http://schemas.microsoft.com/office/drawing/2014/main" id="{598773EF-2C15-4F7B-8FF2-00F97DBD32B4}"/>
            </a:ext>
          </a:extLst>
        </xdr:cNvPr>
        <xdr:cNvSpPr/>
      </xdr:nvSpPr>
      <xdr:spPr>
        <a:xfrm rot="10800000">
          <a:off x="14250388" y="781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</xdr:row>
      <xdr:rowOff>196272</xdr:rowOff>
    </xdr:from>
    <xdr:to>
      <xdr:col>10</xdr:col>
      <xdr:colOff>2320636</xdr:colOff>
      <xdr:row>17</xdr:row>
      <xdr:rowOff>346363</xdr:rowOff>
    </xdr:to>
    <xdr:sp macro="" textlink="">
      <xdr:nvSpPr>
        <xdr:cNvPr id="468" name="Isosceles Triangle 467">
          <a:extLst>
            <a:ext uri="{FF2B5EF4-FFF2-40B4-BE49-F238E27FC236}">
              <a16:creationId xmlns:a16="http://schemas.microsoft.com/office/drawing/2014/main" id="{9B07E0A2-27E2-4850-9616-2B773648F8FE}"/>
            </a:ext>
          </a:extLst>
        </xdr:cNvPr>
        <xdr:cNvSpPr/>
      </xdr:nvSpPr>
      <xdr:spPr>
        <a:xfrm rot="10800000">
          <a:off x="14250388" y="83932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18</xdr:row>
      <xdr:rowOff>196272</xdr:rowOff>
    </xdr:from>
    <xdr:to>
      <xdr:col>10</xdr:col>
      <xdr:colOff>2320636</xdr:colOff>
      <xdr:row>18</xdr:row>
      <xdr:rowOff>346363</xdr:rowOff>
    </xdr:to>
    <xdr:sp macro="" textlink="">
      <xdr:nvSpPr>
        <xdr:cNvPr id="469" name="Isosceles Triangle 468">
          <a:extLst>
            <a:ext uri="{FF2B5EF4-FFF2-40B4-BE49-F238E27FC236}">
              <a16:creationId xmlns:a16="http://schemas.microsoft.com/office/drawing/2014/main" id="{242BDEF5-EB00-48C6-970E-68DD29583F66}"/>
            </a:ext>
          </a:extLst>
        </xdr:cNvPr>
        <xdr:cNvSpPr/>
      </xdr:nvSpPr>
      <xdr:spPr>
        <a:xfrm rot="10800000">
          <a:off x="14250388" y="89701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15</xdr:row>
      <xdr:rowOff>196272</xdr:rowOff>
    </xdr:from>
    <xdr:to>
      <xdr:col>10</xdr:col>
      <xdr:colOff>2320636</xdr:colOff>
      <xdr:row>15</xdr:row>
      <xdr:rowOff>346363</xdr:rowOff>
    </xdr:to>
    <xdr:sp macro="" textlink="">
      <xdr:nvSpPr>
        <xdr:cNvPr id="470" name="Isosceles Triangle 469">
          <a:extLst>
            <a:ext uri="{FF2B5EF4-FFF2-40B4-BE49-F238E27FC236}">
              <a16:creationId xmlns:a16="http://schemas.microsoft.com/office/drawing/2014/main" id="{355AD68A-C0C9-4A7E-9A08-F39F8780B5D6}"/>
            </a:ext>
          </a:extLst>
        </xdr:cNvPr>
        <xdr:cNvSpPr/>
      </xdr:nvSpPr>
      <xdr:spPr>
        <a:xfrm rot="10800000">
          <a:off x="14250388" y="7239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16</xdr:row>
      <xdr:rowOff>196272</xdr:rowOff>
    </xdr:from>
    <xdr:to>
      <xdr:col>10</xdr:col>
      <xdr:colOff>2320636</xdr:colOff>
      <xdr:row>16</xdr:row>
      <xdr:rowOff>346363</xdr:rowOff>
    </xdr:to>
    <xdr:sp macro="" textlink="">
      <xdr:nvSpPr>
        <xdr:cNvPr id="471" name="Isosceles Triangle 470">
          <a:extLst>
            <a:ext uri="{FF2B5EF4-FFF2-40B4-BE49-F238E27FC236}">
              <a16:creationId xmlns:a16="http://schemas.microsoft.com/office/drawing/2014/main" id="{5ACF6574-6681-4DAB-A0DE-698D440AA1EB}"/>
            </a:ext>
          </a:extLst>
        </xdr:cNvPr>
        <xdr:cNvSpPr/>
      </xdr:nvSpPr>
      <xdr:spPr>
        <a:xfrm rot="10800000">
          <a:off x="14250388" y="7816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</xdr:row>
      <xdr:rowOff>196272</xdr:rowOff>
    </xdr:from>
    <xdr:to>
      <xdr:col>10</xdr:col>
      <xdr:colOff>2320636</xdr:colOff>
      <xdr:row>17</xdr:row>
      <xdr:rowOff>346363</xdr:rowOff>
    </xdr:to>
    <xdr:sp macro="" textlink="">
      <xdr:nvSpPr>
        <xdr:cNvPr id="472" name="Isosceles Triangle 471">
          <a:extLst>
            <a:ext uri="{FF2B5EF4-FFF2-40B4-BE49-F238E27FC236}">
              <a16:creationId xmlns:a16="http://schemas.microsoft.com/office/drawing/2014/main" id="{75070E1B-212A-493D-954C-AB85B26689B3}"/>
            </a:ext>
          </a:extLst>
        </xdr:cNvPr>
        <xdr:cNvSpPr/>
      </xdr:nvSpPr>
      <xdr:spPr>
        <a:xfrm rot="10800000">
          <a:off x="14250388" y="83932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18</xdr:row>
      <xdr:rowOff>196272</xdr:rowOff>
    </xdr:from>
    <xdr:to>
      <xdr:col>10</xdr:col>
      <xdr:colOff>2320636</xdr:colOff>
      <xdr:row>18</xdr:row>
      <xdr:rowOff>346363</xdr:rowOff>
    </xdr:to>
    <xdr:sp macro="" textlink="">
      <xdr:nvSpPr>
        <xdr:cNvPr id="473" name="Isosceles Triangle 472">
          <a:extLst>
            <a:ext uri="{FF2B5EF4-FFF2-40B4-BE49-F238E27FC236}">
              <a16:creationId xmlns:a16="http://schemas.microsoft.com/office/drawing/2014/main" id="{BFB60D30-78C4-43A3-A4F2-35683862EE4D}"/>
            </a:ext>
          </a:extLst>
        </xdr:cNvPr>
        <xdr:cNvSpPr/>
      </xdr:nvSpPr>
      <xdr:spPr>
        <a:xfrm rot="10800000">
          <a:off x="14250388" y="89701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20</xdr:row>
      <xdr:rowOff>196272</xdr:rowOff>
    </xdr:from>
    <xdr:to>
      <xdr:col>10</xdr:col>
      <xdr:colOff>2320636</xdr:colOff>
      <xdr:row>20</xdr:row>
      <xdr:rowOff>346363</xdr:rowOff>
    </xdr:to>
    <xdr:sp macro="" textlink="">
      <xdr:nvSpPr>
        <xdr:cNvPr id="474" name="Isosceles Triangle 473">
          <a:extLst>
            <a:ext uri="{FF2B5EF4-FFF2-40B4-BE49-F238E27FC236}">
              <a16:creationId xmlns:a16="http://schemas.microsoft.com/office/drawing/2014/main" id="{29506369-841D-453C-A323-532A4D929F66}"/>
            </a:ext>
          </a:extLst>
        </xdr:cNvPr>
        <xdr:cNvSpPr/>
      </xdr:nvSpPr>
      <xdr:spPr>
        <a:xfrm rot="10800000">
          <a:off x="14250388" y="10124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475" name="Isosceles Triangle 474">
          <a:extLst>
            <a:ext uri="{FF2B5EF4-FFF2-40B4-BE49-F238E27FC236}">
              <a16:creationId xmlns:a16="http://schemas.microsoft.com/office/drawing/2014/main" id="{7D97FB2D-2F6C-4D66-85A9-C5471CF9F031}"/>
            </a:ext>
          </a:extLst>
        </xdr:cNvPr>
        <xdr:cNvSpPr/>
      </xdr:nvSpPr>
      <xdr:spPr>
        <a:xfrm rot="10800000">
          <a:off x="14250388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476" name="Isosceles Triangle 475">
          <a:extLst>
            <a:ext uri="{FF2B5EF4-FFF2-40B4-BE49-F238E27FC236}">
              <a16:creationId xmlns:a16="http://schemas.microsoft.com/office/drawing/2014/main" id="{B914688B-16CF-4F13-BEE3-B72532899BBE}"/>
            </a:ext>
          </a:extLst>
        </xdr:cNvPr>
        <xdr:cNvSpPr/>
      </xdr:nvSpPr>
      <xdr:spPr>
        <a:xfrm rot="10800000">
          <a:off x="14250388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23</xdr:row>
      <xdr:rowOff>196272</xdr:rowOff>
    </xdr:from>
    <xdr:to>
      <xdr:col>10</xdr:col>
      <xdr:colOff>2320636</xdr:colOff>
      <xdr:row>23</xdr:row>
      <xdr:rowOff>346363</xdr:rowOff>
    </xdr:to>
    <xdr:sp macro="" textlink="">
      <xdr:nvSpPr>
        <xdr:cNvPr id="477" name="Isosceles Triangle 476">
          <a:extLst>
            <a:ext uri="{FF2B5EF4-FFF2-40B4-BE49-F238E27FC236}">
              <a16:creationId xmlns:a16="http://schemas.microsoft.com/office/drawing/2014/main" id="{8586F471-2060-44FC-9F76-402661C1820C}"/>
            </a:ext>
          </a:extLst>
        </xdr:cNvPr>
        <xdr:cNvSpPr/>
      </xdr:nvSpPr>
      <xdr:spPr>
        <a:xfrm rot="10800000">
          <a:off x="14250388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24</xdr:row>
      <xdr:rowOff>196272</xdr:rowOff>
    </xdr:from>
    <xdr:to>
      <xdr:col>10</xdr:col>
      <xdr:colOff>2320636</xdr:colOff>
      <xdr:row>24</xdr:row>
      <xdr:rowOff>346363</xdr:rowOff>
    </xdr:to>
    <xdr:sp macro="" textlink="">
      <xdr:nvSpPr>
        <xdr:cNvPr id="478" name="Isosceles Triangle 477">
          <a:extLst>
            <a:ext uri="{FF2B5EF4-FFF2-40B4-BE49-F238E27FC236}">
              <a16:creationId xmlns:a16="http://schemas.microsoft.com/office/drawing/2014/main" id="{30EC8BC4-464D-4D5A-928E-8D667DAF8665}"/>
            </a:ext>
          </a:extLst>
        </xdr:cNvPr>
        <xdr:cNvSpPr/>
      </xdr:nvSpPr>
      <xdr:spPr>
        <a:xfrm rot="10800000">
          <a:off x="14250388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479" name="Isosceles Triangle 478">
          <a:extLst>
            <a:ext uri="{FF2B5EF4-FFF2-40B4-BE49-F238E27FC236}">
              <a16:creationId xmlns:a16="http://schemas.microsoft.com/office/drawing/2014/main" id="{43B315A5-C777-4029-A903-97362D3F4FB3}"/>
            </a:ext>
          </a:extLst>
        </xdr:cNvPr>
        <xdr:cNvSpPr/>
      </xdr:nvSpPr>
      <xdr:spPr>
        <a:xfrm rot="10800000">
          <a:off x="14250388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480" name="Isosceles Triangle 479">
          <a:extLst>
            <a:ext uri="{FF2B5EF4-FFF2-40B4-BE49-F238E27FC236}">
              <a16:creationId xmlns:a16="http://schemas.microsoft.com/office/drawing/2014/main" id="{AFC2684F-2D27-48FB-93F7-306D931D1C33}"/>
            </a:ext>
          </a:extLst>
        </xdr:cNvPr>
        <xdr:cNvSpPr/>
      </xdr:nvSpPr>
      <xdr:spPr>
        <a:xfrm rot="10800000">
          <a:off x="14250388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23</xdr:row>
      <xdr:rowOff>196272</xdr:rowOff>
    </xdr:from>
    <xdr:to>
      <xdr:col>10</xdr:col>
      <xdr:colOff>2320636</xdr:colOff>
      <xdr:row>23</xdr:row>
      <xdr:rowOff>346363</xdr:rowOff>
    </xdr:to>
    <xdr:sp macro="" textlink="">
      <xdr:nvSpPr>
        <xdr:cNvPr id="481" name="Isosceles Triangle 480">
          <a:extLst>
            <a:ext uri="{FF2B5EF4-FFF2-40B4-BE49-F238E27FC236}">
              <a16:creationId xmlns:a16="http://schemas.microsoft.com/office/drawing/2014/main" id="{E567F50B-96A6-4536-B4D2-0EF8C660CA41}"/>
            </a:ext>
          </a:extLst>
        </xdr:cNvPr>
        <xdr:cNvSpPr/>
      </xdr:nvSpPr>
      <xdr:spPr>
        <a:xfrm rot="10800000">
          <a:off x="14250388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24</xdr:row>
      <xdr:rowOff>196272</xdr:rowOff>
    </xdr:from>
    <xdr:to>
      <xdr:col>10</xdr:col>
      <xdr:colOff>2320636</xdr:colOff>
      <xdr:row>24</xdr:row>
      <xdr:rowOff>346363</xdr:rowOff>
    </xdr:to>
    <xdr:sp macro="" textlink="">
      <xdr:nvSpPr>
        <xdr:cNvPr id="482" name="Isosceles Triangle 481">
          <a:extLst>
            <a:ext uri="{FF2B5EF4-FFF2-40B4-BE49-F238E27FC236}">
              <a16:creationId xmlns:a16="http://schemas.microsoft.com/office/drawing/2014/main" id="{ED778EB9-EB39-436A-A9E5-417D25891EC6}"/>
            </a:ext>
          </a:extLst>
        </xdr:cNvPr>
        <xdr:cNvSpPr/>
      </xdr:nvSpPr>
      <xdr:spPr>
        <a:xfrm rot="10800000">
          <a:off x="14250388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20</xdr:row>
      <xdr:rowOff>196272</xdr:rowOff>
    </xdr:from>
    <xdr:to>
      <xdr:col>8</xdr:col>
      <xdr:colOff>2320636</xdr:colOff>
      <xdr:row>20</xdr:row>
      <xdr:rowOff>346363</xdr:rowOff>
    </xdr:to>
    <xdr:sp macro="" textlink="">
      <xdr:nvSpPr>
        <xdr:cNvPr id="483" name="Isosceles Triangle 482">
          <a:extLst>
            <a:ext uri="{FF2B5EF4-FFF2-40B4-BE49-F238E27FC236}">
              <a16:creationId xmlns:a16="http://schemas.microsoft.com/office/drawing/2014/main" id="{1E24768B-333B-43DA-B146-1AF9DA553EE5}"/>
            </a:ext>
          </a:extLst>
        </xdr:cNvPr>
        <xdr:cNvSpPr/>
      </xdr:nvSpPr>
      <xdr:spPr>
        <a:xfrm rot="10800000">
          <a:off x="10788731" y="10124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484" name="Isosceles Triangle 483">
          <a:extLst>
            <a:ext uri="{FF2B5EF4-FFF2-40B4-BE49-F238E27FC236}">
              <a16:creationId xmlns:a16="http://schemas.microsoft.com/office/drawing/2014/main" id="{FF5F3682-F79D-4FFF-B660-3F5BA5FBBDE4}"/>
            </a:ext>
          </a:extLst>
        </xdr:cNvPr>
        <xdr:cNvSpPr/>
      </xdr:nvSpPr>
      <xdr:spPr>
        <a:xfrm rot="10800000">
          <a:off x="10788731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485" name="Isosceles Triangle 484">
          <a:extLst>
            <a:ext uri="{FF2B5EF4-FFF2-40B4-BE49-F238E27FC236}">
              <a16:creationId xmlns:a16="http://schemas.microsoft.com/office/drawing/2014/main" id="{65030399-62D3-4372-B4E4-9A1EE36F4C34}"/>
            </a:ext>
          </a:extLst>
        </xdr:cNvPr>
        <xdr:cNvSpPr/>
      </xdr:nvSpPr>
      <xdr:spPr>
        <a:xfrm rot="10800000">
          <a:off x="10788731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23</xdr:row>
      <xdr:rowOff>196272</xdr:rowOff>
    </xdr:from>
    <xdr:to>
      <xdr:col>8</xdr:col>
      <xdr:colOff>2320636</xdr:colOff>
      <xdr:row>23</xdr:row>
      <xdr:rowOff>346363</xdr:rowOff>
    </xdr:to>
    <xdr:sp macro="" textlink="">
      <xdr:nvSpPr>
        <xdr:cNvPr id="486" name="Isosceles Triangle 485">
          <a:extLst>
            <a:ext uri="{FF2B5EF4-FFF2-40B4-BE49-F238E27FC236}">
              <a16:creationId xmlns:a16="http://schemas.microsoft.com/office/drawing/2014/main" id="{3D40EEA6-1375-4E0E-B96D-74B9F926A149}"/>
            </a:ext>
          </a:extLst>
        </xdr:cNvPr>
        <xdr:cNvSpPr/>
      </xdr:nvSpPr>
      <xdr:spPr>
        <a:xfrm rot="10800000">
          <a:off x="10788731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24</xdr:row>
      <xdr:rowOff>196272</xdr:rowOff>
    </xdr:from>
    <xdr:to>
      <xdr:col>8</xdr:col>
      <xdr:colOff>2320636</xdr:colOff>
      <xdr:row>24</xdr:row>
      <xdr:rowOff>346363</xdr:rowOff>
    </xdr:to>
    <xdr:sp macro="" textlink="">
      <xdr:nvSpPr>
        <xdr:cNvPr id="487" name="Isosceles Triangle 486">
          <a:extLst>
            <a:ext uri="{FF2B5EF4-FFF2-40B4-BE49-F238E27FC236}">
              <a16:creationId xmlns:a16="http://schemas.microsoft.com/office/drawing/2014/main" id="{D3E70A9E-AFB6-4F8C-8195-7282417803D0}"/>
            </a:ext>
          </a:extLst>
        </xdr:cNvPr>
        <xdr:cNvSpPr/>
      </xdr:nvSpPr>
      <xdr:spPr>
        <a:xfrm rot="10800000">
          <a:off x="10788731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488" name="Isosceles Triangle 487">
          <a:extLst>
            <a:ext uri="{FF2B5EF4-FFF2-40B4-BE49-F238E27FC236}">
              <a16:creationId xmlns:a16="http://schemas.microsoft.com/office/drawing/2014/main" id="{A5C75902-6956-462F-ABA6-9A5585930CA1}"/>
            </a:ext>
          </a:extLst>
        </xdr:cNvPr>
        <xdr:cNvSpPr/>
      </xdr:nvSpPr>
      <xdr:spPr>
        <a:xfrm rot="10800000">
          <a:off x="10788731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489" name="Isosceles Triangle 488">
          <a:extLst>
            <a:ext uri="{FF2B5EF4-FFF2-40B4-BE49-F238E27FC236}">
              <a16:creationId xmlns:a16="http://schemas.microsoft.com/office/drawing/2014/main" id="{8C751A90-82CC-4CE6-BD1A-5ACBABC749A6}"/>
            </a:ext>
          </a:extLst>
        </xdr:cNvPr>
        <xdr:cNvSpPr/>
      </xdr:nvSpPr>
      <xdr:spPr>
        <a:xfrm rot="10800000">
          <a:off x="10788731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23</xdr:row>
      <xdr:rowOff>196272</xdr:rowOff>
    </xdr:from>
    <xdr:to>
      <xdr:col>8</xdr:col>
      <xdr:colOff>2320636</xdr:colOff>
      <xdr:row>23</xdr:row>
      <xdr:rowOff>346363</xdr:rowOff>
    </xdr:to>
    <xdr:sp macro="" textlink="">
      <xdr:nvSpPr>
        <xdr:cNvPr id="490" name="Isosceles Triangle 489">
          <a:extLst>
            <a:ext uri="{FF2B5EF4-FFF2-40B4-BE49-F238E27FC236}">
              <a16:creationId xmlns:a16="http://schemas.microsoft.com/office/drawing/2014/main" id="{A3416D16-27E0-461D-8199-37E85C9D0C01}"/>
            </a:ext>
          </a:extLst>
        </xdr:cNvPr>
        <xdr:cNvSpPr/>
      </xdr:nvSpPr>
      <xdr:spPr>
        <a:xfrm rot="10800000">
          <a:off x="10788731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24</xdr:row>
      <xdr:rowOff>196272</xdr:rowOff>
    </xdr:from>
    <xdr:to>
      <xdr:col>8</xdr:col>
      <xdr:colOff>2320636</xdr:colOff>
      <xdr:row>24</xdr:row>
      <xdr:rowOff>346363</xdr:rowOff>
    </xdr:to>
    <xdr:sp macro="" textlink="">
      <xdr:nvSpPr>
        <xdr:cNvPr id="491" name="Isosceles Triangle 490">
          <a:extLst>
            <a:ext uri="{FF2B5EF4-FFF2-40B4-BE49-F238E27FC236}">
              <a16:creationId xmlns:a16="http://schemas.microsoft.com/office/drawing/2014/main" id="{4EB22923-D5D5-4F51-9B2F-13E0FB3C0A26}"/>
            </a:ext>
          </a:extLst>
        </xdr:cNvPr>
        <xdr:cNvSpPr/>
      </xdr:nvSpPr>
      <xdr:spPr>
        <a:xfrm rot="10800000">
          <a:off x="10788731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20</xdr:row>
      <xdr:rowOff>196272</xdr:rowOff>
    </xdr:from>
    <xdr:to>
      <xdr:col>10</xdr:col>
      <xdr:colOff>2320636</xdr:colOff>
      <xdr:row>20</xdr:row>
      <xdr:rowOff>346363</xdr:rowOff>
    </xdr:to>
    <xdr:sp macro="" textlink="">
      <xdr:nvSpPr>
        <xdr:cNvPr id="492" name="Isosceles Triangle 491">
          <a:extLst>
            <a:ext uri="{FF2B5EF4-FFF2-40B4-BE49-F238E27FC236}">
              <a16:creationId xmlns:a16="http://schemas.microsoft.com/office/drawing/2014/main" id="{D21DEC9C-75D7-4DA0-BC12-5BA61394ADB4}"/>
            </a:ext>
          </a:extLst>
        </xdr:cNvPr>
        <xdr:cNvSpPr/>
      </xdr:nvSpPr>
      <xdr:spPr>
        <a:xfrm rot="10800000">
          <a:off x="14250388" y="10124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493" name="Isosceles Triangle 492">
          <a:extLst>
            <a:ext uri="{FF2B5EF4-FFF2-40B4-BE49-F238E27FC236}">
              <a16:creationId xmlns:a16="http://schemas.microsoft.com/office/drawing/2014/main" id="{BE18013D-BF11-455A-868F-37CD1FD68313}"/>
            </a:ext>
          </a:extLst>
        </xdr:cNvPr>
        <xdr:cNvSpPr/>
      </xdr:nvSpPr>
      <xdr:spPr>
        <a:xfrm rot="10800000">
          <a:off x="14250388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494" name="Isosceles Triangle 493">
          <a:extLst>
            <a:ext uri="{FF2B5EF4-FFF2-40B4-BE49-F238E27FC236}">
              <a16:creationId xmlns:a16="http://schemas.microsoft.com/office/drawing/2014/main" id="{772279D7-B444-4933-A3E2-9CFA586FD6F6}"/>
            </a:ext>
          </a:extLst>
        </xdr:cNvPr>
        <xdr:cNvSpPr/>
      </xdr:nvSpPr>
      <xdr:spPr>
        <a:xfrm rot="10800000">
          <a:off x="14250388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23</xdr:row>
      <xdr:rowOff>196272</xdr:rowOff>
    </xdr:from>
    <xdr:to>
      <xdr:col>10</xdr:col>
      <xdr:colOff>2320636</xdr:colOff>
      <xdr:row>23</xdr:row>
      <xdr:rowOff>346363</xdr:rowOff>
    </xdr:to>
    <xdr:sp macro="" textlink="">
      <xdr:nvSpPr>
        <xdr:cNvPr id="495" name="Isosceles Triangle 494">
          <a:extLst>
            <a:ext uri="{FF2B5EF4-FFF2-40B4-BE49-F238E27FC236}">
              <a16:creationId xmlns:a16="http://schemas.microsoft.com/office/drawing/2014/main" id="{B134757D-07E3-4B99-91A9-22F77674D40D}"/>
            </a:ext>
          </a:extLst>
        </xdr:cNvPr>
        <xdr:cNvSpPr/>
      </xdr:nvSpPr>
      <xdr:spPr>
        <a:xfrm rot="10800000">
          <a:off x="14250388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24</xdr:row>
      <xdr:rowOff>196272</xdr:rowOff>
    </xdr:from>
    <xdr:to>
      <xdr:col>10</xdr:col>
      <xdr:colOff>2320636</xdr:colOff>
      <xdr:row>24</xdr:row>
      <xdr:rowOff>346363</xdr:rowOff>
    </xdr:to>
    <xdr:sp macro="" textlink="">
      <xdr:nvSpPr>
        <xdr:cNvPr id="496" name="Isosceles Triangle 495">
          <a:extLst>
            <a:ext uri="{FF2B5EF4-FFF2-40B4-BE49-F238E27FC236}">
              <a16:creationId xmlns:a16="http://schemas.microsoft.com/office/drawing/2014/main" id="{807E9232-1EFA-4E36-9838-6FC793293F98}"/>
            </a:ext>
          </a:extLst>
        </xdr:cNvPr>
        <xdr:cNvSpPr/>
      </xdr:nvSpPr>
      <xdr:spPr>
        <a:xfrm rot="10800000">
          <a:off x="14250388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20</xdr:row>
      <xdr:rowOff>196272</xdr:rowOff>
    </xdr:from>
    <xdr:to>
      <xdr:col>10</xdr:col>
      <xdr:colOff>2320636</xdr:colOff>
      <xdr:row>20</xdr:row>
      <xdr:rowOff>346363</xdr:rowOff>
    </xdr:to>
    <xdr:sp macro="" textlink="">
      <xdr:nvSpPr>
        <xdr:cNvPr id="497" name="Isosceles Triangle 496">
          <a:extLst>
            <a:ext uri="{FF2B5EF4-FFF2-40B4-BE49-F238E27FC236}">
              <a16:creationId xmlns:a16="http://schemas.microsoft.com/office/drawing/2014/main" id="{4275589C-4B46-4F08-BA64-84269F9D7E98}"/>
            </a:ext>
          </a:extLst>
        </xdr:cNvPr>
        <xdr:cNvSpPr/>
      </xdr:nvSpPr>
      <xdr:spPr>
        <a:xfrm rot="10800000">
          <a:off x="14250388" y="10124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498" name="Isosceles Triangle 497">
          <a:extLst>
            <a:ext uri="{FF2B5EF4-FFF2-40B4-BE49-F238E27FC236}">
              <a16:creationId xmlns:a16="http://schemas.microsoft.com/office/drawing/2014/main" id="{0F4A75BF-96AB-4898-9EC8-6B620BA9BD1B}"/>
            </a:ext>
          </a:extLst>
        </xdr:cNvPr>
        <xdr:cNvSpPr/>
      </xdr:nvSpPr>
      <xdr:spPr>
        <a:xfrm rot="10800000">
          <a:off x="14250388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499" name="Isosceles Triangle 498">
          <a:extLst>
            <a:ext uri="{FF2B5EF4-FFF2-40B4-BE49-F238E27FC236}">
              <a16:creationId xmlns:a16="http://schemas.microsoft.com/office/drawing/2014/main" id="{27AB1E1F-BF62-4C40-B7B5-7B2A3CE1877C}"/>
            </a:ext>
          </a:extLst>
        </xdr:cNvPr>
        <xdr:cNvSpPr/>
      </xdr:nvSpPr>
      <xdr:spPr>
        <a:xfrm rot="10800000">
          <a:off x="14250388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23</xdr:row>
      <xdr:rowOff>196272</xdr:rowOff>
    </xdr:from>
    <xdr:to>
      <xdr:col>10</xdr:col>
      <xdr:colOff>2320636</xdr:colOff>
      <xdr:row>23</xdr:row>
      <xdr:rowOff>346363</xdr:rowOff>
    </xdr:to>
    <xdr:sp macro="" textlink="">
      <xdr:nvSpPr>
        <xdr:cNvPr id="500" name="Isosceles Triangle 499">
          <a:extLst>
            <a:ext uri="{FF2B5EF4-FFF2-40B4-BE49-F238E27FC236}">
              <a16:creationId xmlns:a16="http://schemas.microsoft.com/office/drawing/2014/main" id="{6EEAB140-28B3-447C-9859-A55934F2AFA2}"/>
            </a:ext>
          </a:extLst>
        </xdr:cNvPr>
        <xdr:cNvSpPr/>
      </xdr:nvSpPr>
      <xdr:spPr>
        <a:xfrm rot="10800000">
          <a:off x="14250388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24</xdr:row>
      <xdr:rowOff>196272</xdr:rowOff>
    </xdr:from>
    <xdr:to>
      <xdr:col>10</xdr:col>
      <xdr:colOff>2320636</xdr:colOff>
      <xdr:row>24</xdr:row>
      <xdr:rowOff>346363</xdr:rowOff>
    </xdr:to>
    <xdr:sp macro="" textlink="">
      <xdr:nvSpPr>
        <xdr:cNvPr id="501" name="Isosceles Triangle 500">
          <a:extLst>
            <a:ext uri="{FF2B5EF4-FFF2-40B4-BE49-F238E27FC236}">
              <a16:creationId xmlns:a16="http://schemas.microsoft.com/office/drawing/2014/main" id="{A481733D-5808-41D1-87A8-16977AA19C5D}"/>
            </a:ext>
          </a:extLst>
        </xdr:cNvPr>
        <xdr:cNvSpPr/>
      </xdr:nvSpPr>
      <xdr:spPr>
        <a:xfrm rot="10800000">
          <a:off x="14250388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502" name="Isosceles Triangle 501">
          <a:extLst>
            <a:ext uri="{FF2B5EF4-FFF2-40B4-BE49-F238E27FC236}">
              <a16:creationId xmlns:a16="http://schemas.microsoft.com/office/drawing/2014/main" id="{9334562D-24C1-4DB5-8005-41B466B75DB3}"/>
            </a:ext>
          </a:extLst>
        </xdr:cNvPr>
        <xdr:cNvSpPr/>
      </xdr:nvSpPr>
      <xdr:spPr>
        <a:xfrm rot="10800000">
          <a:off x="14250388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503" name="Isosceles Triangle 502">
          <a:extLst>
            <a:ext uri="{FF2B5EF4-FFF2-40B4-BE49-F238E27FC236}">
              <a16:creationId xmlns:a16="http://schemas.microsoft.com/office/drawing/2014/main" id="{E1F69904-6502-41B8-8CB3-8117BF4FA563}"/>
            </a:ext>
          </a:extLst>
        </xdr:cNvPr>
        <xdr:cNvSpPr/>
      </xdr:nvSpPr>
      <xdr:spPr>
        <a:xfrm rot="10800000">
          <a:off x="14250388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23</xdr:row>
      <xdr:rowOff>196272</xdr:rowOff>
    </xdr:from>
    <xdr:to>
      <xdr:col>10</xdr:col>
      <xdr:colOff>2320636</xdr:colOff>
      <xdr:row>23</xdr:row>
      <xdr:rowOff>346363</xdr:rowOff>
    </xdr:to>
    <xdr:sp macro="" textlink="">
      <xdr:nvSpPr>
        <xdr:cNvPr id="504" name="Isosceles Triangle 503">
          <a:extLst>
            <a:ext uri="{FF2B5EF4-FFF2-40B4-BE49-F238E27FC236}">
              <a16:creationId xmlns:a16="http://schemas.microsoft.com/office/drawing/2014/main" id="{4D515375-56D3-472F-AEEF-075D8EE47CB5}"/>
            </a:ext>
          </a:extLst>
        </xdr:cNvPr>
        <xdr:cNvSpPr/>
      </xdr:nvSpPr>
      <xdr:spPr>
        <a:xfrm rot="10800000">
          <a:off x="14250388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24</xdr:row>
      <xdr:rowOff>196272</xdr:rowOff>
    </xdr:from>
    <xdr:to>
      <xdr:col>10</xdr:col>
      <xdr:colOff>2320636</xdr:colOff>
      <xdr:row>24</xdr:row>
      <xdr:rowOff>346363</xdr:rowOff>
    </xdr:to>
    <xdr:sp macro="" textlink="">
      <xdr:nvSpPr>
        <xdr:cNvPr id="505" name="Isosceles Triangle 504">
          <a:extLst>
            <a:ext uri="{FF2B5EF4-FFF2-40B4-BE49-F238E27FC236}">
              <a16:creationId xmlns:a16="http://schemas.microsoft.com/office/drawing/2014/main" id="{39A8FCE2-C700-488F-B9DB-4FA6266802C4}"/>
            </a:ext>
          </a:extLst>
        </xdr:cNvPr>
        <xdr:cNvSpPr/>
      </xdr:nvSpPr>
      <xdr:spPr>
        <a:xfrm rot="10800000">
          <a:off x="14250388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20</xdr:row>
      <xdr:rowOff>196272</xdr:rowOff>
    </xdr:from>
    <xdr:to>
      <xdr:col>10</xdr:col>
      <xdr:colOff>2320636</xdr:colOff>
      <xdr:row>20</xdr:row>
      <xdr:rowOff>346363</xdr:rowOff>
    </xdr:to>
    <xdr:sp macro="" textlink="">
      <xdr:nvSpPr>
        <xdr:cNvPr id="506" name="Isosceles Triangle 505">
          <a:extLst>
            <a:ext uri="{FF2B5EF4-FFF2-40B4-BE49-F238E27FC236}">
              <a16:creationId xmlns:a16="http://schemas.microsoft.com/office/drawing/2014/main" id="{8401DB32-FC3D-4645-82B4-A2AA0A98ADF7}"/>
            </a:ext>
          </a:extLst>
        </xdr:cNvPr>
        <xdr:cNvSpPr/>
      </xdr:nvSpPr>
      <xdr:spPr>
        <a:xfrm rot="10800000">
          <a:off x="14250388" y="10124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507" name="Isosceles Triangle 506">
          <a:extLst>
            <a:ext uri="{FF2B5EF4-FFF2-40B4-BE49-F238E27FC236}">
              <a16:creationId xmlns:a16="http://schemas.microsoft.com/office/drawing/2014/main" id="{BE64DC0F-3452-415E-9C2A-2B627E2B28CC}"/>
            </a:ext>
          </a:extLst>
        </xdr:cNvPr>
        <xdr:cNvSpPr/>
      </xdr:nvSpPr>
      <xdr:spPr>
        <a:xfrm rot="10800000">
          <a:off x="14250388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508" name="Isosceles Triangle 507">
          <a:extLst>
            <a:ext uri="{FF2B5EF4-FFF2-40B4-BE49-F238E27FC236}">
              <a16:creationId xmlns:a16="http://schemas.microsoft.com/office/drawing/2014/main" id="{807D8BE3-CEF1-42CF-B084-D35990E95652}"/>
            </a:ext>
          </a:extLst>
        </xdr:cNvPr>
        <xdr:cNvSpPr/>
      </xdr:nvSpPr>
      <xdr:spPr>
        <a:xfrm rot="10800000">
          <a:off x="14250388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23</xdr:row>
      <xdr:rowOff>196272</xdr:rowOff>
    </xdr:from>
    <xdr:to>
      <xdr:col>10</xdr:col>
      <xdr:colOff>2320636</xdr:colOff>
      <xdr:row>23</xdr:row>
      <xdr:rowOff>346363</xdr:rowOff>
    </xdr:to>
    <xdr:sp macro="" textlink="">
      <xdr:nvSpPr>
        <xdr:cNvPr id="509" name="Isosceles Triangle 508">
          <a:extLst>
            <a:ext uri="{FF2B5EF4-FFF2-40B4-BE49-F238E27FC236}">
              <a16:creationId xmlns:a16="http://schemas.microsoft.com/office/drawing/2014/main" id="{52E3FB79-2CA1-44D2-833B-BEF23AABB265}"/>
            </a:ext>
          </a:extLst>
        </xdr:cNvPr>
        <xdr:cNvSpPr/>
      </xdr:nvSpPr>
      <xdr:spPr>
        <a:xfrm rot="10800000">
          <a:off x="14250388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24</xdr:row>
      <xdr:rowOff>196272</xdr:rowOff>
    </xdr:from>
    <xdr:to>
      <xdr:col>10</xdr:col>
      <xdr:colOff>2320636</xdr:colOff>
      <xdr:row>24</xdr:row>
      <xdr:rowOff>346363</xdr:rowOff>
    </xdr:to>
    <xdr:sp macro="" textlink="">
      <xdr:nvSpPr>
        <xdr:cNvPr id="510" name="Isosceles Triangle 509">
          <a:extLst>
            <a:ext uri="{FF2B5EF4-FFF2-40B4-BE49-F238E27FC236}">
              <a16:creationId xmlns:a16="http://schemas.microsoft.com/office/drawing/2014/main" id="{16524F15-F619-46DE-A175-EDE77F818589}"/>
            </a:ext>
          </a:extLst>
        </xdr:cNvPr>
        <xdr:cNvSpPr/>
      </xdr:nvSpPr>
      <xdr:spPr>
        <a:xfrm rot="10800000">
          <a:off x="14250388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21</xdr:row>
      <xdr:rowOff>196272</xdr:rowOff>
    </xdr:from>
    <xdr:to>
      <xdr:col>10</xdr:col>
      <xdr:colOff>2320636</xdr:colOff>
      <xdr:row>21</xdr:row>
      <xdr:rowOff>346363</xdr:rowOff>
    </xdr:to>
    <xdr:sp macro="" textlink="">
      <xdr:nvSpPr>
        <xdr:cNvPr id="511" name="Isosceles Triangle 510">
          <a:extLst>
            <a:ext uri="{FF2B5EF4-FFF2-40B4-BE49-F238E27FC236}">
              <a16:creationId xmlns:a16="http://schemas.microsoft.com/office/drawing/2014/main" id="{A79FCE24-920E-45C4-8A3A-F58544DE2E0A}"/>
            </a:ext>
          </a:extLst>
        </xdr:cNvPr>
        <xdr:cNvSpPr/>
      </xdr:nvSpPr>
      <xdr:spPr>
        <a:xfrm rot="10800000">
          <a:off x="14250388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22</xdr:row>
      <xdr:rowOff>196272</xdr:rowOff>
    </xdr:from>
    <xdr:to>
      <xdr:col>10</xdr:col>
      <xdr:colOff>2320636</xdr:colOff>
      <xdr:row>22</xdr:row>
      <xdr:rowOff>346363</xdr:rowOff>
    </xdr:to>
    <xdr:sp macro="" textlink="">
      <xdr:nvSpPr>
        <xdr:cNvPr id="512" name="Isosceles Triangle 511">
          <a:extLst>
            <a:ext uri="{FF2B5EF4-FFF2-40B4-BE49-F238E27FC236}">
              <a16:creationId xmlns:a16="http://schemas.microsoft.com/office/drawing/2014/main" id="{FDE4B85A-DA42-4480-8C2F-CD9BCF8DF7EE}"/>
            </a:ext>
          </a:extLst>
        </xdr:cNvPr>
        <xdr:cNvSpPr/>
      </xdr:nvSpPr>
      <xdr:spPr>
        <a:xfrm rot="10800000">
          <a:off x="14250388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23</xdr:row>
      <xdr:rowOff>196272</xdr:rowOff>
    </xdr:from>
    <xdr:to>
      <xdr:col>10</xdr:col>
      <xdr:colOff>2320636</xdr:colOff>
      <xdr:row>23</xdr:row>
      <xdr:rowOff>346363</xdr:rowOff>
    </xdr:to>
    <xdr:sp macro="" textlink="">
      <xdr:nvSpPr>
        <xdr:cNvPr id="513" name="Isosceles Triangle 512">
          <a:extLst>
            <a:ext uri="{FF2B5EF4-FFF2-40B4-BE49-F238E27FC236}">
              <a16:creationId xmlns:a16="http://schemas.microsoft.com/office/drawing/2014/main" id="{6BEC838C-C51D-473A-A574-1A691DB6736E}"/>
            </a:ext>
          </a:extLst>
        </xdr:cNvPr>
        <xdr:cNvSpPr/>
      </xdr:nvSpPr>
      <xdr:spPr>
        <a:xfrm rot="10800000">
          <a:off x="14250388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24</xdr:row>
      <xdr:rowOff>196272</xdr:rowOff>
    </xdr:from>
    <xdr:to>
      <xdr:col>10</xdr:col>
      <xdr:colOff>2320636</xdr:colOff>
      <xdr:row>24</xdr:row>
      <xdr:rowOff>346363</xdr:rowOff>
    </xdr:to>
    <xdr:sp macro="" textlink="">
      <xdr:nvSpPr>
        <xdr:cNvPr id="514" name="Isosceles Triangle 513">
          <a:extLst>
            <a:ext uri="{FF2B5EF4-FFF2-40B4-BE49-F238E27FC236}">
              <a16:creationId xmlns:a16="http://schemas.microsoft.com/office/drawing/2014/main" id="{707CC099-EDA6-4C3C-A358-2BC110FCD42F}"/>
            </a:ext>
          </a:extLst>
        </xdr:cNvPr>
        <xdr:cNvSpPr/>
      </xdr:nvSpPr>
      <xdr:spPr>
        <a:xfrm rot="10800000">
          <a:off x="14250388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20</xdr:row>
      <xdr:rowOff>196272</xdr:rowOff>
    </xdr:from>
    <xdr:to>
      <xdr:col>8</xdr:col>
      <xdr:colOff>2320636</xdr:colOff>
      <xdr:row>20</xdr:row>
      <xdr:rowOff>346363</xdr:rowOff>
    </xdr:to>
    <xdr:sp macro="" textlink="">
      <xdr:nvSpPr>
        <xdr:cNvPr id="515" name="Isosceles Triangle 514">
          <a:extLst>
            <a:ext uri="{FF2B5EF4-FFF2-40B4-BE49-F238E27FC236}">
              <a16:creationId xmlns:a16="http://schemas.microsoft.com/office/drawing/2014/main" id="{E5EB80A7-3C33-4FAE-BCD2-9DF9E61F3CDF}"/>
            </a:ext>
          </a:extLst>
        </xdr:cNvPr>
        <xdr:cNvSpPr/>
      </xdr:nvSpPr>
      <xdr:spPr>
        <a:xfrm rot="10800000">
          <a:off x="10788731" y="10124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516" name="Isosceles Triangle 515">
          <a:extLst>
            <a:ext uri="{FF2B5EF4-FFF2-40B4-BE49-F238E27FC236}">
              <a16:creationId xmlns:a16="http://schemas.microsoft.com/office/drawing/2014/main" id="{155F75C5-1737-447A-BF45-92AB2600AC44}"/>
            </a:ext>
          </a:extLst>
        </xdr:cNvPr>
        <xdr:cNvSpPr/>
      </xdr:nvSpPr>
      <xdr:spPr>
        <a:xfrm rot="10800000">
          <a:off x="10788731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517" name="Isosceles Triangle 516">
          <a:extLst>
            <a:ext uri="{FF2B5EF4-FFF2-40B4-BE49-F238E27FC236}">
              <a16:creationId xmlns:a16="http://schemas.microsoft.com/office/drawing/2014/main" id="{FD54E198-D3F3-4EF4-8594-A9C96F628BE1}"/>
            </a:ext>
          </a:extLst>
        </xdr:cNvPr>
        <xdr:cNvSpPr/>
      </xdr:nvSpPr>
      <xdr:spPr>
        <a:xfrm rot="10800000">
          <a:off x="10788731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23</xdr:row>
      <xdr:rowOff>196272</xdr:rowOff>
    </xdr:from>
    <xdr:to>
      <xdr:col>8</xdr:col>
      <xdr:colOff>2320636</xdr:colOff>
      <xdr:row>23</xdr:row>
      <xdr:rowOff>346363</xdr:rowOff>
    </xdr:to>
    <xdr:sp macro="" textlink="">
      <xdr:nvSpPr>
        <xdr:cNvPr id="518" name="Isosceles Triangle 517">
          <a:extLst>
            <a:ext uri="{FF2B5EF4-FFF2-40B4-BE49-F238E27FC236}">
              <a16:creationId xmlns:a16="http://schemas.microsoft.com/office/drawing/2014/main" id="{03A8C3E4-DA1D-4C68-A175-2B09757AB053}"/>
            </a:ext>
          </a:extLst>
        </xdr:cNvPr>
        <xdr:cNvSpPr/>
      </xdr:nvSpPr>
      <xdr:spPr>
        <a:xfrm rot="10800000">
          <a:off x="10788731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24</xdr:row>
      <xdr:rowOff>196272</xdr:rowOff>
    </xdr:from>
    <xdr:to>
      <xdr:col>8</xdr:col>
      <xdr:colOff>2320636</xdr:colOff>
      <xdr:row>24</xdr:row>
      <xdr:rowOff>346363</xdr:rowOff>
    </xdr:to>
    <xdr:sp macro="" textlink="">
      <xdr:nvSpPr>
        <xdr:cNvPr id="519" name="Isosceles Triangle 518">
          <a:extLst>
            <a:ext uri="{FF2B5EF4-FFF2-40B4-BE49-F238E27FC236}">
              <a16:creationId xmlns:a16="http://schemas.microsoft.com/office/drawing/2014/main" id="{DA3BAFE5-B2C9-4148-8509-DC49125213E8}"/>
            </a:ext>
          </a:extLst>
        </xdr:cNvPr>
        <xdr:cNvSpPr/>
      </xdr:nvSpPr>
      <xdr:spPr>
        <a:xfrm rot="10800000">
          <a:off x="10788731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20</xdr:row>
      <xdr:rowOff>196272</xdr:rowOff>
    </xdr:from>
    <xdr:to>
      <xdr:col>8</xdr:col>
      <xdr:colOff>2320636</xdr:colOff>
      <xdr:row>20</xdr:row>
      <xdr:rowOff>346363</xdr:rowOff>
    </xdr:to>
    <xdr:sp macro="" textlink="">
      <xdr:nvSpPr>
        <xdr:cNvPr id="520" name="Isosceles Triangle 519">
          <a:extLst>
            <a:ext uri="{FF2B5EF4-FFF2-40B4-BE49-F238E27FC236}">
              <a16:creationId xmlns:a16="http://schemas.microsoft.com/office/drawing/2014/main" id="{251EF4D1-03E0-4540-9089-3A8CF06503B5}"/>
            </a:ext>
          </a:extLst>
        </xdr:cNvPr>
        <xdr:cNvSpPr/>
      </xdr:nvSpPr>
      <xdr:spPr>
        <a:xfrm rot="10800000">
          <a:off x="10788731" y="10124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521" name="Isosceles Triangle 520">
          <a:extLst>
            <a:ext uri="{FF2B5EF4-FFF2-40B4-BE49-F238E27FC236}">
              <a16:creationId xmlns:a16="http://schemas.microsoft.com/office/drawing/2014/main" id="{B1F1C0BC-5882-4BBE-8AFD-CD290F9261F8}"/>
            </a:ext>
          </a:extLst>
        </xdr:cNvPr>
        <xdr:cNvSpPr/>
      </xdr:nvSpPr>
      <xdr:spPr>
        <a:xfrm rot="10800000">
          <a:off x="10788731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522" name="Isosceles Triangle 521">
          <a:extLst>
            <a:ext uri="{FF2B5EF4-FFF2-40B4-BE49-F238E27FC236}">
              <a16:creationId xmlns:a16="http://schemas.microsoft.com/office/drawing/2014/main" id="{1966D115-F1DC-43B8-A6F5-BCF3D74A0835}"/>
            </a:ext>
          </a:extLst>
        </xdr:cNvPr>
        <xdr:cNvSpPr/>
      </xdr:nvSpPr>
      <xdr:spPr>
        <a:xfrm rot="10800000">
          <a:off x="10788731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23</xdr:row>
      <xdr:rowOff>196272</xdr:rowOff>
    </xdr:from>
    <xdr:to>
      <xdr:col>8</xdr:col>
      <xdr:colOff>2320636</xdr:colOff>
      <xdr:row>23</xdr:row>
      <xdr:rowOff>346363</xdr:rowOff>
    </xdr:to>
    <xdr:sp macro="" textlink="">
      <xdr:nvSpPr>
        <xdr:cNvPr id="523" name="Isosceles Triangle 522">
          <a:extLst>
            <a:ext uri="{FF2B5EF4-FFF2-40B4-BE49-F238E27FC236}">
              <a16:creationId xmlns:a16="http://schemas.microsoft.com/office/drawing/2014/main" id="{7AB15B0B-C4D2-4864-9879-DFD032E0564E}"/>
            </a:ext>
          </a:extLst>
        </xdr:cNvPr>
        <xdr:cNvSpPr/>
      </xdr:nvSpPr>
      <xdr:spPr>
        <a:xfrm rot="10800000">
          <a:off x="10788731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24</xdr:row>
      <xdr:rowOff>196272</xdr:rowOff>
    </xdr:from>
    <xdr:to>
      <xdr:col>8</xdr:col>
      <xdr:colOff>2320636</xdr:colOff>
      <xdr:row>24</xdr:row>
      <xdr:rowOff>346363</xdr:rowOff>
    </xdr:to>
    <xdr:sp macro="" textlink="">
      <xdr:nvSpPr>
        <xdr:cNvPr id="524" name="Isosceles Triangle 523">
          <a:extLst>
            <a:ext uri="{FF2B5EF4-FFF2-40B4-BE49-F238E27FC236}">
              <a16:creationId xmlns:a16="http://schemas.microsoft.com/office/drawing/2014/main" id="{F5B8972E-C9C5-406D-B8EF-411684F0CBD7}"/>
            </a:ext>
          </a:extLst>
        </xdr:cNvPr>
        <xdr:cNvSpPr/>
      </xdr:nvSpPr>
      <xdr:spPr>
        <a:xfrm rot="10800000">
          <a:off x="10788731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525" name="Isosceles Triangle 524">
          <a:extLst>
            <a:ext uri="{FF2B5EF4-FFF2-40B4-BE49-F238E27FC236}">
              <a16:creationId xmlns:a16="http://schemas.microsoft.com/office/drawing/2014/main" id="{1FC366ED-0D61-4A97-ADF2-B276C76F5674}"/>
            </a:ext>
          </a:extLst>
        </xdr:cNvPr>
        <xdr:cNvSpPr/>
      </xdr:nvSpPr>
      <xdr:spPr>
        <a:xfrm rot="10800000">
          <a:off x="10788731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526" name="Isosceles Triangle 525">
          <a:extLst>
            <a:ext uri="{FF2B5EF4-FFF2-40B4-BE49-F238E27FC236}">
              <a16:creationId xmlns:a16="http://schemas.microsoft.com/office/drawing/2014/main" id="{6072FEB3-7954-4F24-9A88-5F5D9DC03A2B}"/>
            </a:ext>
          </a:extLst>
        </xdr:cNvPr>
        <xdr:cNvSpPr/>
      </xdr:nvSpPr>
      <xdr:spPr>
        <a:xfrm rot="10800000">
          <a:off x="10788731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23</xdr:row>
      <xdr:rowOff>196272</xdr:rowOff>
    </xdr:from>
    <xdr:to>
      <xdr:col>8</xdr:col>
      <xdr:colOff>2320636</xdr:colOff>
      <xdr:row>23</xdr:row>
      <xdr:rowOff>346363</xdr:rowOff>
    </xdr:to>
    <xdr:sp macro="" textlink="">
      <xdr:nvSpPr>
        <xdr:cNvPr id="527" name="Isosceles Triangle 526">
          <a:extLst>
            <a:ext uri="{FF2B5EF4-FFF2-40B4-BE49-F238E27FC236}">
              <a16:creationId xmlns:a16="http://schemas.microsoft.com/office/drawing/2014/main" id="{9C94AD4C-DC13-4A89-8075-8978AF122909}"/>
            </a:ext>
          </a:extLst>
        </xdr:cNvPr>
        <xdr:cNvSpPr/>
      </xdr:nvSpPr>
      <xdr:spPr>
        <a:xfrm rot="10800000">
          <a:off x="10788731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24</xdr:row>
      <xdr:rowOff>196272</xdr:rowOff>
    </xdr:from>
    <xdr:to>
      <xdr:col>8</xdr:col>
      <xdr:colOff>2320636</xdr:colOff>
      <xdr:row>24</xdr:row>
      <xdr:rowOff>346363</xdr:rowOff>
    </xdr:to>
    <xdr:sp macro="" textlink="">
      <xdr:nvSpPr>
        <xdr:cNvPr id="528" name="Isosceles Triangle 527">
          <a:extLst>
            <a:ext uri="{FF2B5EF4-FFF2-40B4-BE49-F238E27FC236}">
              <a16:creationId xmlns:a16="http://schemas.microsoft.com/office/drawing/2014/main" id="{F0C26864-8FFD-473E-BD8F-388D7575D8CA}"/>
            </a:ext>
          </a:extLst>
        </xdr:cNvPr>
        <xdr:cNvSpPr/>
      </xdr:nvSpPr>
      <xdr:spPr>
        <a:xfrm rot="10800000">
          <a:off x="10788731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20</xdr:row>
      <xdr:rowOff>196272</xdr:rowOff>
    </xdr:from>
    <xdr:to>
      <xdr:col>8</xdr:col>
      <xdr:colOff>2320636</xdr:colOff>
      <xdr:row>20</xdr:row>
      <xdr:rowOff>346363</xdr:rowOff>
    </xdr:to>
    <xdr:sp macro="" textlink="">
      <xdr:nvSpPr>
        <xdr:cNvPr id="529" name="Isosceles Triangle 528">
          <a:extLst>
            <a:ext uri="{FF2B5EF4-FFF2-40B4-BE49-F238E27FC236}">
              <a16:creationId xmlns:a16="http://schemas.microsoft.com/office/drawing/2014/main" id="{14C79157-5810-408B-A0FD-7D85D1D60E6D}"/>
            </a:ext>
          </a:extLst>
        </xdr:cNvPr>
        <xdr:cNvSpPr/>
      </xdr:nvSpPr>
      <xdr:spPr>
        <a:xfrm rot="10800000">
          <a:off x="10788731" y="10124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530" name="Isosceles Triangle 529">
          <a:extLst>
            <a:ext uri="{FF2B5EF4-FFF2-40B4-BE49-F238E27FC236}">
              <a16:creationId xmlns:a16="http://schemas.microsoft.com/office/drawing/2014/main" id="{9F5D70D8-C9A4-4A8B-ABE7-46E584072305}"/>
            </a:ext>
          </a:extLst>
        </xdr:cNvPr>
        <xdr:cNvSpPr/>
      </xdr:nvSpPr>
      <xdr:spPr>
        <a:xfrm rot="10800000">
          <a:off x="10788731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531" name="Isosceles Triangle 530">
          <a:extLst>
            <a:ext uri="{FF2B5EF4-FFF2-40B4-BE49-F238E27FC236}">
              <a16:creationId xmlns:a16="http://schemas.microsoft.com/office/drawing/2014/main" id="{AFF75A8A-801C-4D0B-A9F2-5D9C7562AC3C}"/>
            </a:ext>
          </a:extLst>
        </xdr:cNvPr>
        <xdr:cNvSpPr/>
      </xdr:nvSpPr>
      <xdr:spPr>
        <a:xfrm rot="10800000">
          <a:off x="10788731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23</xdr:row>
      <xdr:rowOff>196272</xdr:rowOff>
    </xdr:from>
    <xdr:to>
      <xdr:col>8</xdr:col>
      <xdr:colOff>2320636</xdr:colOff>
      <xdr:row>23</xdr:row>
      <xdr:rowOff>346363</xdr:rowOff>
    </xdr:to>
    <xdr:sp macro="" textlink="">
      <xdr:nvSpPr>
        <xdr:cNvPr id="532" name="Isosceles Triangle 531">
          <a:extLst>
            <a:ext uri="{FF2B5EF4-FFF2-40B4-BE49-F238E27FC236}">
              <a16:creationId xmlns:a16="http://schemas.microsoft.com/office/drawing/2014/main" id="{5390FE40-B9AC-4FD1-992D-18CCE9C3FE56}"/>
            </a:ext>
          </a:extLst>
        </xdr:cNvPr>
        <xdr:cNvSpPr/>
      </xdr:nvSpPr>
      <xdr:spPr>
        <a:xfrm rot="10800000">
          <a:off x="10788731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24</xdr:row>
      <xdr:rowOff>196272</xdr:rowOff>
    </xdr:from>
    <xdr:to>
      <xdr:col>8</xdr:col>
      <xdr:colOff>2320636</xdr:colOff>
      <xdr:row>24</xdr:row>
      <xdr:rowOff>346363</xdr:rowOff>
    </xdr:to>
    <xdr:sp macro="" textlink="">
      <xdr:nvSpPr>
        <xdr:cNvPr id="533" name="Isosceles Triangle 532">
          <a:extLst>
            <a:ext uri="{FF2B5EF4-FFF2-40B4-BE49-F238E27FC236}">
              <a16:creationId xmlns:a16="http://schemas.microsoft.com/office/drawing/2014/main" id="{0FE815F1-69F1-4C97-B592-AB5C95A8F65B}"/>
            </a:ext>
          </a:extLst>
        </xdr:cNvPr>
        <xdr:cNvSpPr/>
      </xdr:nvSpPr>
      <xdr:spPr>
        <a:xfrm rot="10800000">
          <a:off x="10788731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534" name="Isosceles Triangle 533">
          <a:extLst>
            <a:ext uri="{FF2B5EF4-FFF2-40B4-BE49-F238E27FC236}">
              <a16:creationId xmlns:a16="http://schemas.microsoft.com/office/drawing/2014/main" id="{D100A7EF-F2B0-4A78-85F2-DB755F380ECE}"/>
            </a:ext>
          </a:extLst>
        </xdr:cNvPr>
        <xdr:cNvSpPr/>
      </xdr:nvSpPr>
      <xdr:spPr>
        <a:xfrm rot="10800000">
          <a:off x="10788731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535" name="Isosceles Triangle 534">
          <a:extLst>
            <a:ext uri="{FF2B5EF4-FFF2-40B4-BE49-F238E27FC236}">
              <a16:creationId xmlns:a16="http://schemas.microsoft.com/office/drawing/2014/main" id="{832980A2-1ED1-4140-B9BE-6AB06812D3CA}"/>
            </a:ext>
          </a:extLst>
        </xdr:cNvPr>
        <xdr:cNvSpPr/>
      </xdr:nvSpPr>
      <xdr:spPr>
        <a:xfrm rot="10800000">
          <a:off x="10788731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23</xdr:row>
      <xdr:rowOff>196272</xdr:rowOff>
    </xdr:from>
    <xdr:to>
      <xdr:col>8</xdr:col>
      <xdr:colOff>2320636</xdr:colOff>
      <xdr:row>23</xdr:row>
      <xdr:rowOff>346363</xdr:rowOff>
    </xdr:to>
    <xdr:sp macro="" textlink="">
      <xdr:nvSpPr>
        <xdr:cNvPr id="536" name="Isosceles Triangle 535">
          <a:extLst>
            <a:ext uri="{FF2B5EF4-FFF2-40B4-BE49-F238E27FC236}">
              <a16:creationId xmlns:a16="http://schemas.microsoft.com/office/drawing/2014/main" id="{6524A737-6B68-4706-A4A7-2A8777EBE131}"/>
            </a:ext>
          </a:extLst>
        </xdr:cNvPr>
        <xdr:cNvSpPr/>
      </xdr:nvSpPr>
      <xdr:spPr>
        <a:xfrm rot="10800000">
          <a:off x="10788731" y="1185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24</xdr:row>
      <xdr:rowOff>196272</xdr:rowOff>
    </xdr:from>
    <xdr:to>
      <xdr:col>8</xdr:col>
      <xdr:colOff>2320636</xdr:colOff>
      <xdr:row>24</xdr:row>
      <xdr:rowOff>346363</xdr:rowOff>
    </xdr:to>
    <xdr:sp macro="" textlink="">
      <xdr:nvSpPr>
        <xdr:cNvPr id="537" name="Isosceles Triangle 536">
          <a:extLst>
            <a:ext uri="{FF2B5EF4-FFF2-40B4-BE49-F238E27FC236}">
              <a16:creationId xmlns:a16="http://schemas.microsoft.com/office/drawing/2014/main" id="{82E87045-E991-4C54-A158-16FB22F85368}"/>
            </a:ext>
          </a:extLst>
        </xdr:cNvPr>
        <xdr:cNvSpPr/>
      </xdr:nvSpPr>
      <xdr:spPr>
        <a:xfrm rot="10800000">
          <a:off x="10788731" y="1243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538" name="Isosceles Triangle 537">
          <a:extLst>
            <a:ext uri="{FF2B5EF4-FFF2-40B4-BE49-F238E27FC236}">
              <a16:creationId xmlns:a16="http://schemas.microsoft.com/office/drawing/2014/main" id="{E9D8FC6A-0913-4A96-B126-B22D21D716F4}"/>
            </a:ext>
          </a:extLst>
        </xdr:cNvPr>
        <xdr:cNvSpPr/>
      </xdr:nvSpPr>
      <xdr:spPr>
        <a:xfrm rot="10800000">
          <a:off x="14250388" y="13585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539" name="Isosceles Triangle 538">
          <a:extLst>
            <a:ext uri="{FF2B5EF4-FFF2-40B4-BE49-F238E27FC236}">
              <a16:creationId xmlns:a16="http://schemas.microsoft.com/office/drawing/2014/main" id="{BA260DC8-7709-4681-8BAC-AE2485BF443F}"/>
            </a:ext>
          </a:extLst>
        </xdr:cNvPr>
        <xdr:cNvSpPr/>
      </xdr:nvSpPr>
      <xdr:spPr>
        <a:xfrm rot="10800000">
          <a:off x="14250388" y="14162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540" name="Isosceles Triangle 539">
          <a:extLst>
            <a:ext uri="{FF2B5EF4-FFF2-40B4-BE49-F238E27FC236}">
              <a16:creationId xmlns:a16="http://schemas.microsoft.com/office/drawing/2014/main" id="{3CEB8B6C-C3F2-4C0E-BBA7-FFB61588A33E}"/>
            </a:ext>
          </a:extLst>
        </xdr:cNvPr>
        <xdr:cNvSpPr/>
      </xdr:nvSpPr>
      <xdr:spPr>
        <a:xfrm rot="10800000">
          <a:off x="14250388" y="14739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29</xdr:row>
      <xdr:rowOff>196272</xdr:rowOff>
    </xdr:from>
    <xdr:to>
      <xdr:col>10</xdr:col>
      <xdr:colOff>2320636</xdr:colOff>
      <xdr:row>29</xdr:row>
      <xdr:rowOff>346363</xdr:rowOff>
    </xdr:to>
    <xdr:sp macro="" textlink="">
      <xdr:nvSpPr>
        <xdr:cNvPr id="541" name="Isosceles Triangle 540">
          <a:extLst>
            <a:ext uri="{FF2B5EF4-FFF2-40B4-BE49-F238E27FC236}">
              <a16:creationId xmlns:a16="http://schemas.microsoft.com/office/drawing/2014/main" id="{5ABDCA91-4448-4030-90E4-56B1349F91FD}"/>
            </a:ext>
          </a:extLst>
        </xdr:cNvPr>
        <xdr:cNvSpPr/>
      </xdr:nvSpPr>
      <xdr:spPr>
        <a:xfrm rot="10800000">
          <a:off x="14250388" y="1531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30</xdr:row>
      <xdr:rowOff>196272</xdr:rowOff>
    </xdr:from>
    <xdr:to>
      <xdr:col>10</xdr:col>
      <xdr:colOff>2320636</xdr:colOff>
      <xdr:row>30</xdr:row>
      <xdr:rowOff>346363</xdr:rowOff>
    </xdr:to>
    <xdr:sp macro="" textlink="">
      <xdr:nvSpPr>
        <xdr:cNvPr id="542" name="Isosceles Triangle 541">
          <a:extLst>
            <a:ext uri="{FF2B5EF4-FFF2-40B4-BE49-F238E27FC236}">
              <a16:creationId xmlns:a16="http://schemas.microsoft.com/office/drawing/2014/main" id="{3068A348-290D-461F-BBD6-D058B3EF5F04}"/>
            </a:ext>
          </a:extLst>
        </xdr:cNvPr>
        <xdr:cNvSpPr/>
      </xdr:nvSpPr>
      <xdr:spPr>
        <a:xfrm rot="10800000">
          <a:off x="14250388" y="15893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543" name="Isosceles Triangle 542">
          <a:extLst>
            <a:ext uri="{FF2B5EF4-FFF2-40B4-BE49-F238E27FC236}">
              <a16:creationId xmlns:a16="http://schemas.microsoft.com/office/drawing/2014/main" id="{FF3B9B15-A4F9-49D5-AD23-FD2674F5E1C7}"/>
            </a:ext>
          </a:extLst>
        </xdr:cNvPr>
        <xdr:cNvSpPr/>
      </xdr:nvSpPr>
      <xdr:spPr>
        <a:xfrm rot="10800000">
          <a:off x="14250388" y="13585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544" name="Isosceles Triangle 543">
          <a:extLst>
            <a:ext uri="{FF2B5EF4-FFF2-40B4-BE49-F238E27FC236}">
              <a16:creationId xmlns:a16="http://schemas.microsoft.com/office/drawing/2014/main" id="{639C528A-9FDB-4E60-B61E-B9C855827A22}"/>
            </a:ext>
          </a:extLst>
        </xdr:cNvPr>
        <xdr:cNvSpPr/>
      </xdr:nvSpPr>
      <xdr:spPr>
        <a:xfrm rot="10800000">
          <a:off x="14250388" y="14162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545" name="Isosceles Triangle 544">
          <a:extLst>
            <a:ext uri="{FF2B5EF4-FFF2-40B4-BE49-F238E27FC236}">
              <a16:creationId xmlns:a16="http://schemas.microsoft.com/office/drawing/2014/main" id="{2E393BCE-55FC-4A8A-B586-5286E321901B}"/>
            </a:ext>
          </a:extLst>
        </xdr:cNvPr>
        <xdr:cNvSpPr/>
      </xdr:nvSpPr>
      <xdr:spPr>
        <a:xfrm rot="10800000">
          <a:off x="14250388" y="14739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29</xdr:row>
      <xdr:rowOff>196272</xdr:rowOff>
    </xdr:from>
    <xdr:to>
      <xdr:col>10</xdr:col>
      <xdr:colOff>2320636</xdr:colOff>
      <xdr:row>29</xdr:row>
      <xdr:rowOff>346363</xdr:rowOff>
    </xdr:to>
    <xdr:sp macro="" textlink="">
      <xdr:nvSpPr>
        <xdr:cNvPr id="546" name="Isosceles Triangle 545">
          <a:extLst>
            <a:ext uri="{FF2B5EF4-FFF2-40B4-BE49-F238E27FC236}">
              <a16:creationId xmlns:a16="http://schemas.microsoft.com/office/drawing/2014/main" id="{5AFDF426-701E-463F-BFC0-6D3C5F67A438}"/>
            </a:ext>
          </a:extLst>
        </xdr:cNvPr>
        <xdr:cNvSpPr/>
      </xdr:nvSpPr>
      <xdr:spPr>
        <a:xfrm rot="10800000">
          <a:off x="14250388" y="1531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30</xdr:row>
      <xdr:rowOff>196272</xdr:rowOff>
    </xdr:from>
    <xdr:to>
      <xdr:col>10</xdr:col>
      <xdr:colOff>2320636</xdr:colOff>
      <xdr:row>30</xdr:row>
      <xdr:rowOff>346363</xdr:rowOff>
    </xdr:to>
    <xdr:sp macro="" textlink="">
      <xdr:nvSpPr>
        <xdr:cNvPr id="547" name="Isosceles Triangle 546">
          <a:extLst>
            <a:ext uri="{FF2B5EF4-FFF2-40B4-BE49-F238E27FC236}">
              <a16:creationId xmlns:a16="http://schemas.microsoft.com/office/drawing/2014/main" id="{48F03C32-FB8B-4A87-87DE-046361C7B6EF}"/>
            </a:ext>
          </a:extLst>
        </xdr:cNvPr>
        <xdr:cNvSpPr/>
      </xdr:nvSpPr>
      <xdr:spPr>
        <a:xfrm rot="10800000">
          <a:off x="14250388" y="15893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548" name="Isosceles Triangle 547">
          <a:extLst>
            <a:ext uri="{FF2B5EF4-FFF2-40B4-BE49-F238E27FC236}">
              <a16:creationId xmlns:a16="http://schemas.microsoft.com/office/drawing/2014/main" id="{1A2ACFDE-FE54-4F4E-8124-6F9AE2100A90}"/>
            </a:ext>
          </a:extLst>
        </xdr:cNvPr>
        <xdr:cNvSpPr/>
      </xdr:nvSpPr>
      <xdr:spPr>
        <a:xfrm rot="10800000">
          <a:off x="14250388" y="14162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549" name="Isosceles Triangle 548">
          <a:extLst>
            <a:ext uri="{FF2B5EF4-FFF2-40B4-BE49-F238E27FC236}">
              <a16:creationId xmlns:a16="http://schemas.microsoft.com/office/drawing/2014/main" id="{9E183264-B9D0-41C5-90C4-6D178A8802DE}"/>
            </a:ext>
          </a:extLst>
        </xdr:cNvPr>
        <xdr:cNvSpPr/>
      </xdr:nvSpPr>
      <xdr:spPr>
        <a:xfrm rot="10800000">
          <a:off x="14250388" y="14739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29</xdr:row>
      <xdr:rowOff>196272</xdr:rowOff>
    </xdr:from>
    <xdr:to>
      <xdr:col>10</xdr:col>
      <xdr:colOff>2320636</xdr:colOff>
      <xdr:row>29</xdr:row>
      <xdr:rowOff>346363</xdr:rowOff>
    </xdr:to>
    <xdr:sp macro="" textlink="">
      <xdr:nvSpPr>
        <xdr:cNvPr id="550" name="Isosceles Triangle 549">
          <a:extLst>
            <a:ext uri="{FF2B5EF4-FFF2-40B4-BE49-F238E27FC236}">
              <a16:creationId xmlns:a16="http://schemas.microsoft.com/office/drawing/2014/main" id="{43C43CC3-CF22-4EA9-A651-7F19FA44DCA8}"/>
            </a:ext>
          </a:extLst>
        </xdr:cNvPr>
        <xdr:cNvSpPr/>
      </xdr:nvSpPr>
      <xdr:spPr>
        <a:xfrm rot="10800000">
          <a:off x="14250388" y="1531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30</xdr:row>
      <xdr:rowOff>196272</xdr:rowOff>
    </xdr:from>
    <xdr:to>
      <xdr:col>10</xdr:col>
      <xdr:colOff>2320636</xdr:colOff>
      <xdr:row>30</xdr:row>
      <xdr:rowOff>346363</xdr:rowOff>
    </xdr:to>
    <xdr:sp macro="" textlink="">
      <xdr:nvSpPr>
        <xdr:cNvPr id="551" name="Isosceles Triangle 550">
          <a:extLst>
            <a:ext uri="{FF2B5EF4-FFF2-40B4-BE49-F238E27FC236}">
              <a16:creationId xmlns:a16="http://schemas.microsoft.com/office/drawing/2014/main" id="{C4EC7AF1-631F-43C4-8436-FEA9A93F8592}"/>
            </a:ext>
          </a:extLst>
        </xdr:cNvPr>
        <xdr:cNvSpPr/>
      </xdr:nvSpPr>
      <xdr:spPr>
        <a:xfrm rot="10800000">
          <a:off x="14250388" y="15893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26</xdr:row>
      <xdr:rowOff>196272</xdr:rowOff>
    </xdr:from>
    <xdr:to>
      <xdr:col>10</xdr:col>
      <xdr:colOff>2320636</xdr:colOff>
      <xdr:row>26</xdr:row>
      <xdr:rowOff>346363</xdr:rowOff>
    </xdr:to>
    <xdr:sp macro="" textlink="">
      <xdr:nvSpPr>
        <xdr:cNvPr id="552" name="Isosceles Triangle 551">
          <a:extLst>
            <a:ext uri="{FF2B5EF4-FFF2-40B4-BE49-F238E27FC236}">
              <a16:creationId xmlns:a16="http://schemas.microsoft.com/office/drawing/2014/main" id="{8765CDD1-C10F-4078-965B-2830C808737D}"/>
            </a:ext>
          </a:extLst>
        </xdr:cNvPr>
        <xdr:cNvSpPr/>
      </xdr:nvSpPr>
      <xdr:spPr>
        <a:xfrm rot="10800000">
          <a:off x="14250388" y="13585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553" name="Isosceles Triangle 552">
          <a:extLst>
            <a:ext uri="{FF2B5EF4-FFF2-40B4-BE49-F238E27FC236}">
              <a16:creationId xmlns:a16="http://schemas.microsoft.com/office/drawing/2014/main" id="{09066BF1-8F6E-45DF-8898-94A72E017B31}"/>
            </a:ext>
          </a:extLst>
        </xdr:cNvPr>
        <xdr:cNvSpPr/>
      </xdr:nvSpPr>
      <xdr:spPr>
        <a:xfrm rot="10800000">
          <a:off x="14250388" y="14162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554" name="Isosceles Triangle 553">
          <a:extLst>
            <a:ext uri="{FF2B5EF4-FFF2-40B4-BE49-F238E27FC236}">
              <a16:creationId xmlns:a16="http://schemas.microsoft.com/office/drawing/2014/main" id="{73CA35D6-BA01-4451-819B-5AA6DD2FF073}"/>
            </a:ext>
          </a:extLst>
        </xdr:cNvPr>
        <xdr:cNvSpPr/>
      </xdr:nvSpPr>
      <xdr:spPr>
        <a:xfrm rot="10800000">
          <a:off x="14250388" y="14739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29</xdr:row>
      <xdr:rowOff>196272</xdr:rowOff>
    </xdr:from>
    <xdr:to>
      <xdr:col>10</xdr:col>
      <xdr:colOff>2320636</xdr:colOff>
      <xdr:row>29</xdr:row>
      <xdr:rowOff>346363</xdr:rowOff>
    </xdr:to>
    <xdr:sp macro="" textlink="">
      <xdr:nvSpPr>
        <xdr:cNvPr id="555" name="Isosceles Triangle 554">
          <a:extLst>
            <a:ext uri="{FF2B5EF4-FFF2-40B4-BE49-F238E27FC236}">
              <a16:creationId xmlns:a16="http://schemas.microsoft.com/office/drawing/2014/main" id="{5B33084A-BFA9-4D4D-8836-11A75B90DD89}"/>
            </a:ext>
          </a:extLst>
        </xdr:cNvPr>
        <xdr:cNvSpPr/>
      </xdr:nvSpPr>
      <xdr:spPr>
        <a:xfrm rot="10800000">
          <a:off x="14250388" y="1531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30</xdr:row>
      <xdr:rowOff>196272</xdr:rowOff>
    </xdr:from>
    <xdr:to>
      <xdr:col>10</xdr:col>
      <xdr:colOff>2320636</xdr:colOff>
      <xdr:row>30</xdr:row>
      <xdr:rowOff>346363</xdr:rowOff>
    </xdr:to>
    <xdr:sp macro="" textlink="">
      <xdr:nvSpPr>
        <xdr:cNvPr id="556" name="Isosceles Triangle 555">
          <a:extLst>
            <a:ext uri="{FF2B5EF4-FFF2-40B4-BE49-F238E27FC236}">
              <a16:creationId xmlns:a16="http://schemas.microsoft.com/office/drawing/2014/main" id="{F6DBB472-0EFD-4B27-8B30-B7FB262BAFFF}"/>
            </a:ext>
          </a:extLst>
        </xdr:cNvPr>
        <xdr:cNvSpPr/>
      </xdr:nvSpPr>
      <xdr:spPr>
        <a:xfrm rot="10800000">
          <a:off x="14250388" y="15893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27</xdr:row>
      <xdr:rowOff>196272</xdr:rowOff>
    </xdr:from>
    <xdr:to>
      <xdr:col>10</xdr:col>
      <xdr:colOff>2320636</xdr:colOff>
      <xdr:row>27</xdr:row>
      <xdr:rowOff>346363</xdr:rowOff>
    </xdr:to>
    <xdr:sp macro="" textlink="">
      <xdr:nvSpPr>
        <xdr:cNvPr id="557" name="Isosceles Triangle 556">
          <a:extLst>
            <a:ext uri="{FF2B5EF4-FFF2-40B4-BE49-F238E27FC236}">
              <a16:creationId xmlns:a16="http://schemas.microsoft.com/office/drawing/2014/main" id="{A18C6B4A-D59C-4E96-B4D0-C3E883E6CA07}"/>
            </a:ext>
          </a:extLst>
        </xdr:cNvPr>
        <xdr:cNvSpPr/>
      </xdr:nvSpPr>
      <xdr:spPr>
        <a:xfrm rot="10800000">
          <a:off x="14250388" y="14162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28</xdr:row>
      <xdr:rowOff>196272</xdr:rowOff>
    </xdr:from>
    <xdr:to>
      <xdr:col>10</xdr:col>
      <xdr:colOff>2320636</xdr:colOff>
      <xdr:row>28</xdr:row>
      <xdr:rowOff>346363</xdr:rowOff>
    </xdr:to>
    <xdr:sp macro="" textlink="">
      <xdr:nvSpPr>
        <xdr:cNvPr id="558" name="Isosceles Triangle 557">
          <a:extLst>
            <a:ext uri="{FF2B5EF4-FFF2-40B4-BE49-F238E27FC236}">
              <a16:creationId xmlns:a16="http://schemas.microsoft.com/office/drawing/2014/main" id="{FCEBD6DA-1119-4082-A6DB-683E704934BD}"/>
            </a:ext>
          </a:extLst>
        </xdr:cNvPr>
        <xdr:cNvSpPr/>
      </xdr:nvSpPr>
      <xdr:spPr>
        <a:xfrm rot="10800000">
          <a:off x="14250388" y="14739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29</xdr:row>
      <xdr:rowOff>196272</xdr:rowOff>
    </xdr:from>
    <xdr:to>
      <xdr:col>10</xdr:col>
      <xdr:colOff>2320636</xdr:colOff>
      <xdr:row>29</xdr:row>
      <xdr:rowOff>346363</xdr:rowOff>
    </xdr:to>
    <xdr:sp macro="" textlink="">
      <xdr:nvSpPr>
        <xdr:cNvPr id="559" name="Isosceles Triangle 558">
          <a:extLst>
            <a:ext uri="{FF2B5EF4-FFF2-40B4-BE49-F238E27FC236}">
              <a16:creationId xmlns:a16="http://schemas.microsoft.com/office/drawing/2014/main" id="{461D6F43-2E73-4EB8-B31E-55D5C1AF7488}"/>
            </a:ext>
          </a:extLst>
        </xdr:cNvPr>
        <xdr:cNvSpPr/>
      </xdr:nvSpPr>
      <xdr:spPr>
        <a:xfrm rot="10800000">
          <a:off x="14250388" y="1531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30</xdr:row>
      <xdr:rowOff>196272</xdr:rowOff>
    </xdr:from>
    <xdr:to>
      <xdr:col>10</xdr:col>
      <xdr:colOff>2320636</xdr:colOff>
      <xdr:row>30</xdr:row>
      <xdr:rowOff>346363</xdr:rowOff>
    </xdr:to>
    <xdr:sp macro="" textlink="">
      <xdr:nvSpPr>
        <xdr:cNvPr id="560" name="Isosceles Triangle 559">
          <a:extLst>
            <a:ext uri="{FF2B5EF4-FFF2-40B4-BE49-F238E27FC236}">
              <a16:creationId xmlns:a16="http://schemas.microsoft.com/office/drawing/2014/main" id="{1C05741F-3551-40E2-AEDF-964B84C88325}"/>
            </a:ext>
          </a:extLst>
        </xdr:cNvPr>
        <xdr:cNvSpPr/>
      </xdr:nvSpPr>
      <xdr:spPr>
        <a:xfrm rot="10800000">
          <a:off x="14250388" y="15893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32</xdr:row>
      <xdr:rowOff>196272</xdr:rowOff>
    </xdr:from>
    <xdr:to>
      <xdr:col>10</xdr:col>
      <xdr:colOff>2320636</xdr:colOff>
      <xdr:row>32</xdr:row>
      <xdr:rowOff>346363</xdr:rowOff>
    </xdr:to>
    <xdr:sp macro="" textlink="">
      <xdr:nvSpPr>
        <xdr:cNvPr id="561" name="Isosceles Triangle 560">
          <a:extLst>
            <a:ext uri="{FF2B5EF4-FFF2-40B4-BE49-F238E27FC236}">
              <a16:creationId xmlns:a16="http://schemas.microsoft.com/office/drawing/2014/main" id="{FF66DE49-3A6F-4896-A7B0-7540BD171FEB}"/>
            </a:ext>
          </a:extLst>
        </xdr:cNvPr>
        <xdr:cNvSpPr/>
      </xdr:nvSpPr>
      <xdr:spPr>
        <a:xfrm rot="10800000">
          <a:off x="14250388" y="17047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33</xdr:row>
      <xdr:rowOff>196272</xdr:rowOff>
    </xdr:from>
    <xdr:to>
      <xdr:col>10</xdr:col>
      <xdr:colOff>2320636</xdr:colOff>
      <xdr:row>33</xdr:row>
      <xdr:rowOff>346363</xdr:rowOff>
    </xdr:to>
    <xdr:sp macro="" textlink="">
      <xdr:nvSpPr>
        <xdr:cNvPr id="562" name="Isosceles Triangle 561">
          <a:extLst>
            <a:ext uri="{FF2B5EF4-FFF2-40B4-BE49-F238E27FC236}">
              <a16:creationId xmlns:a16="http://schemas.microsoft.com/office/drawing/2014/main" id="{922DEE94-18DC-4E65-8BC7-9C8CF3B41CE8}"/>
            </a:ext>
          </a:extLst>
        </xdr:cNvPr>
        <xdr:cNvSpPr/>
      </xdr:nvSpPr>
      <xdr:spPr>
        <a:xfrm rot="10800000">
          <a:off x="14250388" y="17624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34</xdr:row>
      <xdr:rowOff>196272</xdr:rowOff>
    </xdr:from>
    <xdr:to>
      <xdr:col>10</xdr:col>
      <xdr:colOff>2320636</xdr:colOff>
      <xdr:row>34</xdr:row>
      <xdr:rowOff>346363</xdr:rowOff>
    </xdr:to>
    <xdr:sp macro="" textlink="">
      <xdr:nvSpPr>
        <xdr:cNvPr id="563" name="Isosceles Triangle 562">
          <a:extLst>
            <a:ext uri="{FF2B5EF4-FFF2-40B4-BE49-F238E27FC236}">
              <a16:creationId xmlns:a16="http://schemas.microsoft.com/office/drawing/2014/main" id="{23817D2E-EBB4-4441-B792-03EB17FEFE16}"/>
            </a:ext>
          </a:extLst>
        </xdr:cNvPr>
        <xdr:cNvSpPr/>
      </xdr:nvSpPr>
      <xdr:spPr>
        <a:xfrm rot="10800000">
          <a:off x="14250388" y="182012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35</xdr:row>
      <xdr:rowOff>196272</xdr:rowOff>
    </xdr:from>
    <xdr:to>
      <xdr:col>10</xdr:col>
      <xdr:colOff>2320636</xdr:colOff>
      <xdr:row>35</xdr:row>
      <xdr:rowOff>346363</xdr:rowOff>
    </xdr:to>
    <xdr:sp macro="" textlink="">
      <xdr:nvSpPr>
        <xdr:cNvPr id="564" name="Isosceles Triangle 563">
          <a:extLst>
            <a:ext uri="{FF2B5EF4-FFF2-40B4-BE49-F238E27FC236}">
              <a16:creationId xmlns:a16="http://schemas.microsoft.com/office/drawing/2014/main" id="{28BF452C-1FE6-4331-8738-189C23AFB7FE}"/>
            </a:ext>
          </a:extLst>
        </xdr:cNvPr>
        <xdr:cNvSpPr/>
      </xdr:nvSpPr>
      <xdr:spPr>
        <a:xfrm rot="10800000">
          <a:off x="14250388" y="18778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36</xdr:row>
      <xdr:rowOff>196272</xdr:rowOff>
    </xdr:from>
    <xdr:to>
      <xdr:col>10</xdr:col>
      <xdr:colOff>2320636</xdr:colOff>
      <xdr:row>36</xdr:row>
      <xdr:rowOff>346363</xdr:rowOff>
    </xdr:to>
    <xdr:sp macro="" textlink="">
      <xdr:nvSpPr>
        <xdr:cNvPr id="565" name="Isosceles Triangle 564">
          <a:extLst>
            <a:ext uri="{FF2B5EF4-FFF2-40B4-BE49-F238E27FC236}">
              <a16:creationId xmlns:a16="http://schemas.microsoft.com/office/drawing/2014/main" id="{6688E980-454E-4BF0-BCB0-7186168B20DE}"/>
            </a:ext>
          </a:extLst>
        </xdr:cNvPr>
        <xdr:cNvSpPr/>
      </xdr:nvSpPr>
      <xdr:spPr>
        <a:xfrm rot="10800000">
          <a:off x="14250388" y="19355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32</xdr:row>
      <xdr:rowOff>196272</xdr:rowOff>
    </xdr:from>
    <xdr:to>
      <xdr:col>10</xdr:col>
      <xdr:colOff>2320636</xdr:colOff>
      <xdr:row>32</xdr:row>
      <xdr:rowOff>346363</xdr:rowOff>
    </xdr:to>
    <xdr:sp macro="" textlink="">
      <xdr:nvSpPr>
        <xdr:cNvPr id="566" name="Isosceles Triangle 565">
          <a:extLst>
            <a:ext uri="{FF2B5EF4-FFF2-40B4-BE49-F238E27FC236}">
              <a16:creationId xmlns:a16="http://schemas.microsoft.com/office/drawing/2014/main" id="{5CBCEBBC-F408-41E6-AB34-9E4AC88B206F}"/>
            </a:ext>
          </a:extLst>
        </xdr:cNvPr>
        <xdr:cNvSpPr/>
      </xdr:nvSpPr>
      <xdr:spPr>
        <a:xfrm rot="10800000">
          <a:off x="14250388" y="17047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33</xdr:row>
      <xdr:rowOff>196272</xdr:rowOff>
    </xdr:from>
    <xdr:to>
      <xdr:col>10</xdr:col>
      <xdr:colOff>2320636</xdr:colOff>
      <xdr:row>33</xdr:row>
      <xdr:rowOff>346363</xdr:rowOff>
    </xdr:to>
    <xdr:sp macro="" textlink="">
      <xdr:nvSpPr>
        <xdr:cNvPr id="567" name="Isosceles Triangle 566">
          <a:extLst>
            <a:ext uri="{FF2B5EF4-FFF2-40B4-BE49-F238E27FC236}">
              <a16:creationId xmlns:a16="http://schemas.microsoft.com/office/drawing/2014/main" id="{4577DB3A-2BFE-445F-BE3C-5112A7E4F897}"/>
            </a:ext>
          </a:extLst>
        </xdr:cNvPr>
        <xdr:cNvSpPr/>
      </xdr:nvSpPr>
      <xdr:spPr>
        <a:xfrm rot="10800000">
          <a:off x="14250388" y="17624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34</xdr:row>
      <xdr:rowOff>196272</xdr:rowOff>
    </xdr:from>
    <xdr:to>
      <xdr:col>10</xdr:col>
      <xdr:colOff>2320636</xdr:colOff>
      <xdr:row>34</xdr:row>
      <xdr:rowOff>346363</xdr:rowOff>
    </xdr:to>
    <xdr:sp macro="" textlink="">
      <xdr:nvSpPr>
        <xdr:cNvPr id="568" name="Isosceles Triangle 567">
          <a:extLst>
            <a:ext uri="{FF2B5EF4-FFF2-40B4-BE49-F238E27FC236}">
              <a16:creationId xmlns:a16="http://schemas.microsoft.com/office/drawing/2014/main" id="{1062BC04-618D-4EFD-B995-7A5FE4B5040D}"/>
            </a:ext>
          </a:extLst>
        </xdr:cNvPr>
        <xdr:cNvSpPr/>
      </xdr:nvSpPr>
      <xdr:spPr>
        <a:xfrm rot="10800000">
          <a:off x="14250388" y="182012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35</xdr:row>
      <xdr:rowOff>196272</xdr:rowOff>
    </xdr:from>
    <xdr:to>
      <xdr:col>10</xdr:col>
      <xdr:colOff>2320636</xdr:colOff>
      <xdr:row>35</xdr:row>
      <xdr:rowOff>346363</xdr:rowOff>
    </xdr:to>
    <xdr:sp macro="" textlink="">
      <xdr:nvSpPr>
        <xdr:cNvPr id="569" name="Isosceles Triangle 568">
          <a:extLst>
            <a:ext uri="{FF2B5EF4-FFF2-40B4-BE49-F238E27FC236}">
              <a16:creationId xmlns:a16="http://schemas.microsoft.com/office/drawing/2014/main" id="{38A2C97A-D2F9-434D-BF73-AFAE249A21C3}"/>
            </a:ext>
          </a:extLst>
        </xdr:cNvPr>
        <xdr:cNvSpPr/>
      </xdr:nvSpPr>
      <xdr:spPr>
        <a:xfrm rot="10800000">
          <a:off x="14250388" y="18778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36</xdr:row>
      <xdr:rowOff>196272</xdr:rowOff>
    </xdr:from>
    <xdr:to>
      <xdr:col>10</xdr:col>
      <xdr:colOff>2320636</xdr:colOff>
      <xdr:row>36</xdr:row>
      <xdr:rowOff>346363</xdr:rowOff>
    </xdr:to>
    <xdr:sp macro="" textlink="">
      <xdr:nvSpPr>
        <xdr:cNvPr id="570" name="Isosceles Triangle 569">
          <a:extLst>
            <a:ext uri="{FF2B5EF4-FFF2-40B4-BE49-F238E27FC236}">
              <a16:creationId xmlns:a16="http://schemas.microsoft.com/office/drawing/2014/main" id="{A8BB6AEF-667C-4F58-8458-554520E9B1DB}"/>
            </a:ext>
          </a:extLst>
        </xdr:cNvPr>
        <xdr:cNvSpPr/>
      </xdr:nvSpPr>
      <xdr:spPr>
        <a:xfrm rot="10800000">
          <a:off x="14250388" y="19355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33</xdr:row>
      <xdr:rowOff>196272</xdr:rowOff>
    </xdr:from>
    <xdr:to>
      <xdr:col>10</xdr:col>
      <xdr:colOff>2320636</xdr:colOff>
      <xdr:row>33</xdr:row>
      <xdr:rowOff>346363</xdr:rowOff>
    </xdr:to>
    <xdr:sp macro="" textlink="">
      <xdr:nvSpPr>
        <xdr:cNvPr id="571" name="Isosceles Triangle 570">
          <a:extLst>
            <a:ext uri="{FF2B5EF4-FFF2-40B4-BE49-F238E27FC236}">
              <a16:creationId xmlns:a16="http://schemas.microsoft.com/office/drawing/2014/main" id="{60A67F36-7FF7-45D3-87C3-51161DBA6E73}"/>
            </a:ext>
          </a:extLst>
        </xdr:cNvPr>
        <xdr:cNvSpPr/>
      </xdr:nvSpPr>
      <xdr:spPr>
        <a:xfrm rot="10800000">
          <a:off x="14250388" y="17624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34</xdr:row>
      <xdr:rowOff>196272</xdr:rowOff>
    </xdr:from>
    <xdr:to>
      <xdr:col>10</xdr:col>
      <xdr:colOff>2320636</xdr:colOff>
      <xdr:row>34</xdr:row>
      <xdr:rowOff>346363</xdr:rowOff>
    </xdr:to>
    <xdr:sp macro="" textlink="">
      <xdr:nvSpPr>
        <xdr:cNvPr id="572" name="Isosceles Triangle 571">
          <a:extLst>
            <a:ext uri="{FF2B5EF4-FFF2-40B4-BE49-F238E27FC236}">
              <a16:creationId xmlns:a16="http://schemas.microsoft.com/office/drawing/2014/main" id="{849BED1A-D33B-4C70-94F5-4EF2AEC4917D}"/>
            </a:ext>
          </a:extLst>
        </xdr:cNvPr>
        <xdr:cNvSpPr/>
      </xdr:nvSpPr>
      <xdr:spPr>
        <a:xfrm rot="10800000">
          <a:off x="14250388" y="182012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35</xdr:row>
      <xdr:rowOff>196272</xdr:rowOff>
    </xdr:from>
    <xdr:to>
      <xdr:col>10</xdr:col>
      <xdr:colOff>2320636</xdr:colOff>
      <xdr:row>35</xdr:row>
      <xdr:rowOff>346363</xdr:rowOff>
    </xdr:to>
    <xdr:sp macro="" textlink="">
      <xdr:nvSpPr>
        <xdr:cNvPr id="573" name="Isosceles Triangle 572">
          <a:extLst>
            <a:ext uri="{FF2B5EF4-FFF2-40B4-BE49-F238E27FC236}">
              <a16:creationId xmlns:a16="http://schemas.microsoft.com/office/drawing/2014/main" id="{74885348-3754-4B22-8C6F-46B95E346ABC}"/>
            </a:ext>
          </a:extLst>
        </xdr:cNvPr>
        <xdr:cNvSpPr/>
      </xdr:nvSpPr>
      <xdr:spPr>
        <a:xfrm rot="10800000">
          <a:off x="14250388" y="18778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36</xdr:row>
      <xdr:rowOff>196272</xdr:rowOff>
    </xdr:from>
    <xdr:to>
      <xdr:col>10</xdr:col>
      <xdr:colOff>2320636</xdr:colOff>
      <xdr:row>36</xdr:row>
      <xdr:rowOff>346363</xdr:rowOff>
    </xdr:to>
    <xdr:sp macro="" textlink="">
      <xdr:nvSpPr>
        <xdr:cNvPr id="574" name="Isosceles Triangle 573">
          <a:extLst>
            <a:ext uri="{FF2B5EF4-FFF2-40B4-BE49-F238E27FC236}">
              <a16:creationId xmlns:a16="http://schemas.microsoft.com/office/drawing/2014/main" id="{4FFDE43F-E4AF-4244-B940-606F66435717}"/>
            </a:ext>
          </a:extLst>
        </xdr:cNvPr>
        <xdr:cNvSpPr/>
      </xdr:nvSpPr>
      <xdr:spPr>
        <a:xfrm rot="10800000">
          <a:off x="14250388" y="19355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32</xdr:row>
      <xdr:rowOff>196272</xdr:rowOff>
    </xdr:from>
    <xdr:to>
      <xdr:col>10</xdr:col>
      <xdr:colOff>2320636</xdr:colOff>
      <xdr:row>32</xdr:row>
      <xdr:rowOff>346363</xdr:rowOff>
    </xdr:to>
    <xdr:sp macro="" textlink="">
      <xdr:nvSpPr>
        <xdr:cNvPr id="575" name="Isosceles Triangle 574">
          <a:extLst>
            <a:ext uri="{FF2B5EF4-FFF2-40B4-BE49-F238E27FC236}">
              <a16:creationId xmlns:a16="http://schemas.microsoft.com/office/drawing/2014/main" id="{F3F242D6-F086-4CCB-A42E-2D6C4C667E12}"/>
            </a:ext>
          </a:extLst>
        </xdr:cNvPr>
        <xdr:cNvSpPr/>
      </xdr:nvSpPr>
      <xdr:spPr>
        <a:xfrm rot="10800000">
          <a:off x="14250388" y="17047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33</xdr:row>
      <xdr:rowOff>196272</xdr:rowOff>
    </xdr:from>
    <xdr:to>
      <xdr:col>10</xdr:col>
      <xdr:colOff>2320636</xdr:colOff>
      <xdr:row>33</xdr:row>
      <xdr:rowOff>346363</xdr:rowOff>
    </xdr:to>
    <xdr:sp macro="" textlink="">
      <xdr:nvSpPr>
        <xdr:cNvPr id="576" name="Isosceles Triangle 575">
          <a:extLst>
            <a:ext uri="{FF2B5EF4-FFF2-40B4-BE49-F238E27FC236}">
              <a16:creationId xmlns:a16="http://schemas.microsoft.com/office/drawing/2014/main" id="{A92D6ADF-157B-4320-9B58-82426A2DF96E}"/>
            </a:ext>
          </a:extLst>
        </xdr:cNvPr>
        <xdr:cNvSpPr/>
      </xdr:nvSpPr>
      <xdr:spPr>
        <a:xfrm rot="10800000">
          <a:off x="14250388" y="17624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34</xdr:row>
      <xdr:rowOff>196272</xdr:rowOff>
    </xdr:from>
    <xdr:to>
      <xdr:col>10</xdr:col>
      <xdr:colOff>2320636</xdr:colOff>
      <xdr:row>34</xdr:row>
      <xdr:rowOff>346363</xdr:rowOff>
    </xdr:to>
    <xdr:sp macro="" textlink="">
      <xdr:nvSpPr>
        <xdr:cNvPr id="577" name="Isosceles Triangle 576">
          <a:extLst>
            <a:ext uri="{FF2B5EF4-FFF2-40B4-BE49-F238E27FC236}">
              <a16:creationId xmlns:a16="http://schemas.microsoft.com/office/drawing/2014/main" id="{BD09A4A9-B5E0-4FFC-8448-6F79A4257473}"/>
            </a:ext>
          </a:extLst>
        </xdr:cNvPr>
        <xdr:cNvSpPr/>
      </xdr:nvSpPr>
      <xdr:spPr>
        <a:xfrm rot="10800000">
          <a:off x="14250388" y="182012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35</xdr:row>
      <xdr:rowOff>196272</xdr:rowOff>
    </xdr:from>
    <xdr:to>
      <xdr:col>10</xdr:col>
      <xdr:colOff>2320636</xdr:colOff>
      <xdr:row>35</xdr:row>
      <xdr:rowOff>346363</xdr:rowOff>
    </xdr:to>
    <xdr:sp macro="" textlink="">
      <xdr:nvSpPr>
        <xdr:cNvPr id="578" name="Isosceles Triangle 577">
          <a:extLst>
            <a:ext uri="{FF2B5EF4-FFF2-40B4-BE49-F238E27FC236}">
              <a16:creationId xmlns:a16="http://schemas.microsoft.com/office/drawing/2014/main" id="{9738920A-AC0C-47E4-9093-C23E8222CC23}"/>
            </a:ext>
          </a:extLst>
        </xdr:cNvPr>
        <xdr:cNvSpPr/>
      </xdr:nvSpPr>
      <xdr:spPr>
        <a:xfrm rot="10800000">
          <a:off x="14250388" y="18778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36</xdr:row>
      <xdr:rowOff>196272</xdr:rowOff>
    </xdr:from>
    <xdr:to>
      <xdr:col>10</xdr:col>
      <xdr:colOff>2320636</xdr:colOff>
      <xdr:row>36</xdr:row>
      <xdr:rowOff>346363</xdr:rowOff>
    </xdr:to>
    <xdr:sp macro="" textlink="">
      <xdr:nvSpPr>
        <xdr:cNvPr id="579" name="Isosceles Triangle 578">
          <a:extLst>
            <a:ext uri="{FF2B5EF4-FFF2-40B4-BE49-F238E27FC236}">
              <a16:creationId xmlns:a16="http://schemas.microsoft.com/office/drawing/2014/main" id="{212C61B7-D828-4E58-9967-FD5DB7FF02F4}"/>
            </a:ext>
          </a:extLst>
        </xdr:cNvPr>
        <xdr:cNvSpPr/>
      </xdr:nvSpPr>
      <xdr:spPr>
        <a:xfrm rot="10800000">
          <a:off x="14250388" y="19355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33</xdr:row>
      <xdr:rowOff>196272</xdr:rowOff>
    </xdr:from>
    <xdr:to>
      <xdr:col>10</xdr:col>
      <xdr:colOff>2320636</xdr:colOff>
      <xdr:row>33</xdr:row>
      <xdr:rowOff>346363</xdr:rowOff>
    </xdr:to>
    <xdr:sp macro="" textlink="">
      <xdr:nvSpPr>
        <xdr:cNvPr id="580" name="Isosceles Triangle 579">
          <a:extLst>
            <a:ext uri="{FF2B5EF4-FFF2-40B4-BE49-F238E27FC236}">
              <a16:creationId xmlns:a16="http://schemas.microsoft.com/office/drawing/2014/main" id="{B0BE3644-0C42-47C0-A274-017E31C063FF}"/>
            </a:ext>
          </a:extLst>
        </xdr:cNvPr>
        <xdr:cNvSpPr/>
      </xdr:nvSpPr>
      <xdr:spPr>
        <a:xfrm rot="10800000">
          <a:off x="14250388" y="17624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34</xdr:row>
      <xdr:rowOff>196272</xdr:rowOff>
    </xdr:from>
    <xdr:to>
      <xdr:col>10</xdr:col>
      <xdr:colOff>2320636</xdr:colOff>
      <xdr:row>34</xdr:row>
      <xdr:rowOff>346363</xdr:rowOff>
    </xdr:to>
    <xdr:sp macro="" textlink="">
      <xdr:nvSpPr>
        <xdr:cNvPr id="581" name="Isosceles Triangle 580">
          <a:extLst>
            <a:ext uri="{FF2B5EF4-FFF2-40B4-BE49-F238E27FC236}">
              <a16:creationId xmlns:a16="http://schemas.microsoft.com/office/drawing/2014/main" id="{694D7886-933F-4DE9-AE7B-ED05B81A76DD}"/>
            </a:ext>
          </a:extLst>
        </xdr:cNvPr>
        <xdr:cNvSpPr/>
      </xdr:nvSpPr>
      <xdr:spPr>
        <a:xfrm rot="10800000">
          <a:off x="14250388" y="182012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35</xdr:row>
      <xdr:rowOff>196272</xdr:rowOff>
    </xdr:from>
    <xdr:to>
      <xdr:col>10</xdr:col>
      <xdr:colOff>2320636</xdr:colOff>
      <xdr:row>35</xdr:row>
      <xdr:rowOff>346363</xdr:rowOff>
    </xdr:to>
    <xdr:sp macro="" textlink="">
      <xdr:nvSpPr>
        <xdr:cNvPr id="582" name="Isosceles Triangle 581">
          <a:extLst>
            <a:ext uri="{FF2B5EF4-FFF2-40B4-BE49-F238E27FC236}">
              <a16:creationId xmlns:a16="http://schemas.microsoft.com/office/drawing/2014/main" id="{D476ABC9-4C8A-403D-9CA1-D27130529AF3}"/>
            </a:ext>
          </a:extLst>
        </xdr:cNvPr>
        <xdr:cNvSpPr/>
      </xdr:nvSpPr>
      <xdr:spPr>
        <a:xfrm rot="10800000">
          <a:off x="14250388" y="18778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36</xdr:row>
      <xdr:rowOff>196272</xdr:rowOff>
    </xdr:from>
    <xdr:to>
      <xdr:col>10</xdr:col>
      <xdr:colOff>2320636</xdr:colOff>
      <xdr:row>36</xdr:row>
      <xdr:rowOff>346363</xdr:rowOff>
    </xdr:to>
    <xdr:sp macro="" textlink="">
      <xdr:nvSpPr>
        <xdr:cNvPr id="583" name="Isosceles Triangle 582">
          <a:extLst>
            <a:ext uri="{FF2B5EF4-FFF2-40B4-BE49-F238E27FC236}">
              <a16:creationId xmlns:a16="http://schemas.microsoft.com/office/drawing/2014/main" id="{CB113E53-A108-4C21-9FD4-AD31AE828201}"/>
            </a:ext>
          </a:extLst>
        </xdr:cNvPr>
        <xdr:cNvSpPr/>
      </xdr:nvSpPr>
      <xdr:spPr>
        <a:xfrm rot="10800000">
          <a:off x="14250388" y="19355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38</xdr:row>
      <xdr:rowOff>196272</xdr:rowOff>
    </xdr:from>
    <xdr:to>
      <xdr:col>10</xdr:col>
      <xdr:colOff>2320636</xdr:colOff>
      <xdr:row>38</xdr:row>
      <xdr:rowOff>346363</xdr:rowOff>
    </xdr:to>
    <xdr:sp macro="" textlink="">
      <xdr:nvSpPr>
        <xdr:cNvPr id="584" name="Isosceles Triangle 583">
          <a:extLst>
            <a:ext uri="{FF2B5EF4-FFF2-40B4-BE49-F238E27FC236}">
              <a16:creationId xmlns:a16="http://schemas.microsoft.com/office/drawing/2014/main" id="{E620F5CF-A9CA-4E71-AD0D-AEC00AE85FBD}"/>
            </a:ext>
          </a:extLst>
        </xdr:cNvPr>
        <xdr:cNvSpPr/>
      </xdr:nvSpPr>
      <xdr:spPr>
        <a:xfrm rot="10800000">
          <a:off x="14250388" y="20509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39</xdr:row>
      <xdr:rowOff>196272</xdr:rowOff>
    </xdr:from>
    <xdr:to>
      <xdr:col>10</xdr:col>
      <xdr:colOff>2320636</xdr:colOff>
      <xdr:row>39</xdr:row>
      <xdr:rowOff>346363</xdr:rowOff>
    </xdr:to>
    <xdr:sp macro="" textlink="">
      <xdr:nvSpPr>
        <xdr:cNvPr id="585" name="Isosceles Triangle 584">
          <a:extLst>
            <a:ext uri="{FF2B5EF4-FFF2-40B4-BE49-F238E27FC236}">
              <a16:creationId xmlns:a16="http://schemas.microsoft.com/office/drawing/2014/main" id="{9A342166-8D49-482B-81D5-0B9B4B01A110}"/>
            </a:ext>
          </a:extLst>
        </xdr:cNvPr>
        <xdr:cNvSpPr/>
      </xdr:nvSpPr>
      <xdr:spPr>
        <a:xfrm rot="10800000">
          <a:off x="14250388" y="21085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40</xdr:row>
      <xdr:rowOff>196272</xdr:rowOff>
    </xdr:from>
    <xdr:to>
      <xdr:col>10</xdr:col>
      <xdr:colOff>2320636</xdr:colOff>
      <xdr:row>40</xdr:row>
      <xdr:rowOff>346363</xdr:rowOff>
    </xdr:to>
    <xdr:sp macro="" textlink="">
      <xdr:nvSpPr>
        <xdr:cNvPr id="586" name="Isosceles Triangle 585">
          <a:extLst>
            <a:ext uri="{FF2B5EF4-FFF2-40B4-BE49-F238E27FC236}">
              <a16:creationId xmlns:a16="http://schemas.microsoft.com/office/drawing/2014/main" id="{48C55A70-31D2-4EC2-B8D5-52F50E64F663}"/>
            </a:ext>
          </a:extLst>
        </xdr:cNvPr>
        <xdr:cNvSpPr/>
      </xdr:nvSpPr>
      <xdr:spPr>
        <a:xfrm rot="10800000">
          <a:off x="14250388" y="216629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41</xdr:row>
      <xdr:rowOff>196272</xdr:rowOff>
    </xdr:from>
    <xdr:to>
      <xdr:col>10</xdr:col>
      <xdr:colOff>2320636</xdr:colOff>
      <xdr:row>41</xdr:row>
      <xdr:rowOff>346363</xdr:rowOff>
    </xdr:to>
    <xdr:sp macro="" textlink="">
      <xdr:nvSpPr>
        <xdr:cNvPr id="587" name="Isosceles Triangle 586">
          <a:extLst>
            <a:ext uri="{FF2B5EF4-FFF2-40B4-BE49-F238E27FC236}">
              <a16:creationId xmlns:a16="http://schemas.microsoft.com/office/drawing/2014/main" id="{08389888-4941-4041-8142-0278474BC041}"/>
            </a:ext>
          </a:extLst>
        </xdr:cNvPr>
        <xdr:cNvSpPr/>
      </xdr:nvSpPr>
      <xdr:spPr>
        <a:xfrm rot="10800000">
          <a:off x="14250388" y="222398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42</xdr:row>
      <xdr:rowOff>196272</xdr:rowOff>
    </xdr:from>
    <xdr:to>
      <xdr:col>10</xdr:col>
      <xdr:colOff>2320636</xdr:colOff>
      <xdr:row>42</xdr:row>
      <xdr:rowOff>346363</xdr:rowOff>
    </xdr:to>
    <xdr:sp macro="" textlink="">
      <xdr:nvSpPr>
        <xdr:cNvPr id="588" name="Isosceles Triangle 587">
          <a:extLst>
            <a:ext uri="{FF2B5EF4-FFF2-40B4-BE49-F238E27FC236}">
              <a16:creationId xmlns:a16="http://schemas.microsoft.com/office/drawing/2014/main" id="{89ED7E6A-FB1F-45EC-9C02-BF1739B7A4D5}"/>
            </a:ext>
          </a:extLst>
        </xdr:cNvPr>
        <xdr:cNvSpPr/>
      </xdr:nvSpPr>
      <xdr:spPr>
        <a:xfrm rot="10800000">
          <a:off x="14250388" y="22816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38</xdr:row>
      <xdr:rowOff>196272</xdr:rowOff>
    </xdr:from>
    <xdr:to>
      <xdr:col>10</xdr:col>
      <xdr:colOff>2320636</xdr:colOff>
      <xdr:row>38</xdr:row>
      <xdr:rowOff>346363</xdr:rowOff>
    </xdr:to>
    <xdr:sp macro="" textlink="">
      <xdr:nvSpPr>
        <xdr:cNvPr id="589" name="Isosceles Triangle 588">
          <a:extLst>
            <a:ext uri="{FF2B5EF4-FFF2-40B4-BE49-F238E27FC236}">
              <a16:creationId xmlns:a16="http://schemas.microsoft.com/office/drawing/2014/main" id="{F29CF879-4A6B-46CE-9F8F-BC6ABE74D0C3}"/>
            </a:ext>
          </a:extLst>
        </xdr:cNvPr>
        <xdr:cNvSpPr/>
      </xdr:nvSpPr>
      <xdr:spPr>
        <a:xfrm rot="10800000">
          <a:off x="14250388" y="20509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39</xdr:row>
      <xdr:rowOff>196272</xdr:rowOff>
    </xdr:from>
    <xdr:to>
      <xdr:col>10</xdr:col>
      <xdr:colOff>2320636</xdr:colOff>
      <xdr:row>39</xdr:row>
      <xdr:rowOff>346363</xdr:rowOff>
    </xdr:to>
    <xdr:sp macro="" textlink="">
      <xdr:nvSpPr>
        <xdr:cNvPr id="590" name="Isosceles Triangle 589">
          <a:extLst>
            <a:ext uri="{FF2B5EF4-FFF2-40B4-BE49-F238E27FC236}">
              <a16:creationId xmlns:a16="http://schemas.microsoft.com/office/drawing/2014/main" id="{25381377-5B17-41C7-9401-F17F09D18C35}"/>
            </a:ext>
          </a:extLst>
        </xdr:cNvPr>
        <xdr:cNvSpPr/>
      </xdr:nvSpPr>
      <xdr:spPr>
        <a:xfrm rot="10800000">
          <a:off x="14250388" y="21085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40</xdr:row>
      <xdr:rowOff>196272</xdr:rowOff>
    </xdr:from>
    <xdr:to>
      <xdr:col>10</xdr:col>
      <xdr:colOff>2320636</xdr:colOff>
      <xdr:row>40</xdr:row>
      <xdr:rowOff>346363</xdr:rowOff>
    </xdr:to>
    <xdr:sp macro="" textlink="">
      <xdr:nvSpPr>
        <xdr:cNvPr id="591" name="Isosceles Triangle 590">
          <a:extLst>
            <a:ext uri="{FF2B5EF4-FFF2-40B4-BE49-F238E27FC236}">
              <a16:creationId xmlns:a16="http://schemas.microsoft.com/office/drawing/2014/main" id="{E75B9023-6D34-4C73-A895-335FAFD2FAE7}"/>
            </a:ext>
          </a:extLst>
        </xdr:cNvPr>
        <xdr:cNvSpPr/>
      </xdr:nvSpPr>
      <xdr:spPr>
        <a:xfrm rot="10800000">
          <a:off x="14250388" y="216629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41</xdr:row>
      <xdr:rowOff>196272</xdr:rowOff>
    </xdr:from>
    <xdr:to>
      <xdr:col>10</xdr:col>
      <xdr:colOff>2320636</xdr:colOff>
      <xdr:row>41</xdr:row>
      <xdr:rowOff>346363</xdr:rowOff>
    </xdr:to>
    <xdr:sp macro="" textlink="">
      <xdr:nvSpPr>
        <xdr:cNvPr id="592" name="Isosceles Triangle 591">
          <a:extLst>
            <a:ext uri="{FF2B5EF4-FFF2-40B4-BE49-F238E27FC236}">
              <a16:creationId xmlns:a16="http://schemas.microsoft.com/office/drawing/2014/main" id="{498D66CC-548F-4D46-85A1-232AD5009025}"/>
            </a:ext>
          </a:extLst>
        </xdr:cNvPr>
        <xdr:cNvSpPr/>
      </xdr:nvSpPr>
      <xdr:spPr>
        <a:xfrm rot="10800000">
          <a:off x="14250388" y="222398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42</xdr:row>
      <xdr:rowOff>196272</xdr:rowOff>
    </xdr:from>
    <xdr:to>
      <xdr:col>10</xdr:col>
      <xdr:colOff>2320636</xdr:colOff>
      <xdr:row>42</xdr:row>
      <xdr:rowOff>346363</xdr:rowOff>
    </xdr:to>
    <xdr:sp macro="" textlink="">
      <xdr:nvSpPr>
        <xdr:cNvPr id="593" name="Isosceles Triangle 592">
          <a:extLst>
            <a:ext uri="{FF2B5EF4-FFF2-40B4-BE49-F238E27FC236}">
              <a16:creationId xmlns:a16="http://schemas.microsoft.com/office/drawing/2014/main" id="{2B4F36D4-FD51-4405-B13C-DBC363A80EE1}"/>
            </a:ext>
          </a:extLst>
        </xdr:cNvPr>
        <xdr:cNvSpPr/>
      </xdr:nvSpPr>
      <xdr:spPr>
        <a:xfrm rot="10800000">
          <a:off x="14250388" y="22816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39</xdr:row>
      <xdr:rowOff>196272</xdr:rowOff>
    </xdr:from>
    <xdr:to>
      <xdr:col>10</xdr:col>
      <xdr:colOff>2320636</xdr:colOff>
      <xdr:row>39</xdr:row>
      <xdr:rowOff>346363</xdr:rowOff>
    </xdr:to>
    <xdr:sp macro="" textlink="">
      <xdr:nvSpPr>
        <xdr:cNvPr id="594" name="Isosceles Triangle 593">
          <a:extLst>
            <a:ext uri="{FF2B5EF4-FFF2-40B4-BE49-F238E27FC236}">
              <a16:creationId xmlns:a16="http://schemas.microsoft.com/office/drawing/2014/main" id="{3BBFF15B-330B-46F3-B706-3DC5FE88538B}"/>
            </a:ext>
          </a:extLst>
        </xdr:cNvPr>
        <xdr:cNvSpPr/>
      </xdr:nvSpPr>
      <xdr:spPr>
        <a:xfrm rot="10800000">
          <a:off x="14250388" y="21085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40</xdr:row>
      <xdr:rowOff>196272</xdr:rowOff>
    </xdr:from>
    <xdr:to>
      <xdr:col>10</xdr:col>
      <xdr:colOff>2320636</xdr:colOff>
      <xdr:row>40</xdr:row>
      <xdr:rowOff>346363</xdr:rowOff>
    </xdr:to>
    <xdr:sp macro="" textlink="">
      <xdr:nvSpPr>
        <xdr:cNvPr id="595" name="Isosceles Triangle 594">
          <a:extLst>
            <a:ext uri="{FF2B5EF4-FFF2-40B4-BE49-F238E27FC236}">
              <a16:creationId xmlns:a16="http://schemas.microsoft.com/office/drawing/2014/main" id="{CCC24E4F-4D31-4939-93AE-F0BEDB1DE9FD}"/>
            </a:ext>
          </a:extLst>
        </xdr:cNvPr>
        <xdr:cNvSpPr/>
      </xdr:nvSpPr>
      <xdr:spPr>
        <a:xfrm rot="10800000">
          <a:off x="14250388" y="216629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41</xdr:row>
      <xdr:rowOff>196272</xdr:rowOff>
    </xdr:from>
    <xdr:to>
      <xdr:col>10</xdr:col>
      <xdr:colOff>2320636</xdr:colOff>
      <xdr:row>41</xdr:row>
      <xdr:rowOff>346363</xdr:rowOff>
    </xdr:to>
    <xdr:sp macro="" textlink="">
      <xdr:nvSpPr>
        <xdr:cNvPr id="596" name="Isosceles Triangle 595">
          <a:extLst>
            <a:ext uri="{FF2B5EF4-FFF2-40B4-BE49-F238E27FC236}">
              <a16:creationId xmlns:a16="http://schemas.microsoft.com/office/drawing/2014/main" id="{496CAE4A-4925-4AAE-81AE-E14297190E4A}"/>
            </a:ext>
          </a:extLst>
        </xdr:cNvPr>
        <xdr:cNvSpPr/>
      </xdr:nvSpPr>
      <xdr:spPr>
        <a:xfrm rot="10800000">
          <a:off x="14250388" y="222398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42</xdr:row>
      <xdr:rowOff>196272</xdr:rowOff>
    </xdr:from>
    <xdr:to>
      <xdr:col>10</xdr:col>
      <xdr:colOff>2320636</xdr:colOff>
      <xdr:row>42</xdr:row>
      <xdr:rowOff>346363</xdr:rowOff>
    </xdr:to>
    <xdr:sp macro="" textlink="">
      <xdr:nvSpPr>
        <xdr:cNvPr id="597" name="Isosceles Triangle 596">
          <a:extLst>
            <a:ext uri="{FF2B5EF4-FFF2-40B4-BE49-F238E27FC236}">
              <a16:creationId xmlns:a16="http://schemas.microsoft.com/office/drawing/2014/main" id="{0243BE5D-E8A3-4A24-9D6A-4A847B650F95}"/>
            </a:ext>
          </a:extLst>
        </xdr:cNvPr>
        <xdr:cNvSpPr/>
      </xdr:nvSpPr>
      <xdr:spPr>
        <a:xfrm rot="10800000">
          <a:off x="14250388" y="22816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38</xdr:row>
      <xdr:rowOff>196272</xdr:rowOff>
    </xdr:from>
    <xdr:to>
      <xdr:col>10</xdr:col>
      <xdr:colOff>2320636</xdr:colOff>
      <xdr:row>38</xdr:row>
      <xdr:rowOff>346363</xdr:rowOff>
    </xdr:to>
    <xdr:sp macro="" textlink="">
      <xdr:nvSpPr>
        <xdr:cNvPr id="598" name="Isosceles Triangle 597">
          <a:extLst>
            <a:ext uri="{FF2B5EF4-FFF2-40B4-BE49-F238E27FC236}">
              <a16:creationId xmlns:a16="http://schemas.microsoft.com/office/drawing/2014/main" id="{18A91213-100D-409D-A482-496546A3F313}"/>
            </a:ext>
          </a:extLst>
        </xdr:cNvPr>
        <xdr:cNvSpPr/>
      </xdr:nvSpPr>
      <xdr:spPr>
        <a:xfrm rot="10800000">
          <a:off x="14250388" y="20509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39</xdr:row>
      <xdr:rowOff>196272</xdr:rowOff>
    </xdr:from>
    <xdr:to>
      <xdr:col>10</xdr:col>
      <xdr:colOff>2320636</xdr:colOff>
      <xdr:row>39</xdr:row>
      <xdr:rowOff>346363</xdr:rowOff>
    </xdr:to>
    <xdr:sp macro="" textlink="">
      <xdr:nvSpPr>
        <xdr:cNvPr id="599" name="Isosceles Triangle 598">
          <a:extLst>
            <a:ext uri="{FF2B5EF4-FFF2-40B4-BE49-F238E27FC236}">
              <a16:creationId xmlns:a16="http://schemas.microsoft.com/office/drawing/2014/main" id="{232CD87F-212B-4F3B-8C7A-3733FEEEE87A}"/>
            </a:ext>
          </a:extLst>
        </xdr:cNvPr>
        <xdr:cNvSpPr/>
      </xdr:nvSpPr>
      <xdr:spPr>
        <a:xfrm rot="10800000">
          <a:off x="14250388" y="21085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40</xdr:row>
      <xdr:rowOff>196272</xdr:rowOff>
    </xdr:from>
    <xdr:to>
      <xdr:col>10</xdr:col>
      <xdr:colOff>2320636</xdr:colOff>
      <xdr:row>40</xdr:row>
      <xdr:rowOff>346363</xdr:rowOff>
    </xdr:to>
    <xdr:sp macro="" textlink="">
      <xdr:nvSpPr>
        <xdr:cNvPr id="600" name="Isosceles Triangle 599">
          <a:extLst>
            <a:ext uri="{FF2B5EF4-FFF2-40B4-BE49-F238E27FC236}">
              <a16:creationId xmlns:a16="http://schemas.microsoft.com/office/drawing/2014/main" id="{3D338F80-D755-41F9-8217-62E1575DF011}"/>
            </a:ext>
          </a:extLst>
        </xdr:cNvPr>
        <xdr:cNvSpPr/>
      </xdr:nvSpPr>
      <xdr:spPr>
        <a:xfrm rot="10800000">
          <a:off x="14250388" y="216629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41</xdr:row>
      <xdr:rowOff>196272</xdr:rowOff>
    </xdr:from>
    <xdr:to>
      <xdr:col>10</xdr:col>
      <xdr:colOff>2320636</xdr:colOff>
      <xdr:row>41</xdr:row>
      <xdr:rowOff>346363</xdr:rowOff>
    </xdr:to>
    <xdr:sp macro="" textlink="">
      <xdr:nvSpPr>
        <xdr:cNvPr id="601" name="Isosceles Triangle 600">
          <a:extLst>
            <a:ext uri="{FF2B5EF4-FFF2-40B4-BE49-F238E27FC236}">
              <a16:creationId xmlns:a16="http://schemas.microsoft.com/office/drawing/2014/main" id="{022E1458-EE04-4ACF-96BA-9E50AFB17E17}"/>
            </a:ext>
          </a:extLst>
        </xdr:cNvPr>
        <xdr:cNvSpPr/>
      </xdr:nvSpPr>
      <xdr:spPr>
        <a:xfrm rot="10800000">
          <a:off x="14250388" y="222398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42</xdr:row>
      <xdr:rowOff>196272</xdr:rowOff>
    </xdr:from>
    <xdr:to>
      <xdr:col>10</xdr:col>
      <xdr:colOff>2320636</xdr:colOff>
      <xdr:row>42</xdr:row>
      <xdr:rowOff>346363</xdr:rowOff>
    </xdr:to>
    <xdr:sp macro="" textlink="">
      <xdr:nvSpPr>
        <xdr:cNvPr id="602" name="Isosceles Triangle 601">
          <a:extLst>
            <a:ext uri="{FF2B5EF4-FFF2-40B4-BE49-F238E27FC236}">
              <a16:creationId xmlns:a16="http://schemas.microsoft.com/office/drawing/2014/main" id="{4FD8CD84-D507-494C-B1EF-B630920C873F}"/>
            </a:ext>
          </a:extLst>
        </xdr:cNvPr>
        <xdr:cNvSpPr/>
      </xdr:nvSpPr>
      <xdr:spPr>
        <a:xfrm rot="10800000">
          <a:off x="14250388" y="22816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39</xdr:row>
      <xdr:rowOff>196272</xdr:rowOff>
    </xdr:from>
    <xdr:to>
      <xdr:col>10</xdr:col>
      <xdr:colOff>2320636</xdr:colOff>
      <xdr:row>39</xdr:row>
      <xdr:rowOff>346363</xdr:rowOff>
    </xdr:to>
    <xdr:sp macro="" textlink="">
      <xdr:nvSpPr>
        <xdr:cNvPr id="603" name="Isosceles Triangle 602">
          <a:extLst>
            <a:ext uri="{FF2B5EF4-FFF2-40B4-BE49-F238E27FC236}">
              <a16:creationId xmlns:a16="http://schemas.microsoft.com/office/drawing/2014/main" id="{9D78283E-2A46-4B5E-8EC2-27334D6DD39B}"/>
            </a:ext>
          </a:extLst>
        </xdr:cNvPr>
        <xdr:cNvSpPr/>
      </xdr:nvSpPr>
      <xdr:spPr>
        <a:xfrm rot="10800000">
          <a:off x="14250388" y="21085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40</xdr:row>
      <xdr:rowOff>196272</xdr:rowOff>
    </xdr:from>
    <xdr:to>
      <xdr:col>10</xdr:col>
      <xdr:colOff>2320636</xdr:colOff>
      <xdr:row>40</xdr:row>
      <xdr:rowOff>346363</xdr:rowOff>
    </xdr:to>
    <xdr:sp macro="" textlink="">
      <xdr:nvSpPr>
        <xdr:cNvPr id="604" name="Isosceles Triangle 603">
          <a:extLst>
            <a:ext uri="{FF2B5EF4-FFF2-40B4-BE49-F238E27FC236}">
              <a16:creationId xmlns:a16="http://schemas.microsoft.com/office/drawing/2014/main" id="{2541587C-D0A5-4B32-B801-288833293FBB}"/>
            </a:ext>
          </a:extLst>
        </xdr:cNvPr>
        <xdr:cNvSpPr/>
      </xdr:nvSpPr>
      <xdr:spPr>
        <a:xfrm rot="10800000">
          <a:off x="14250388" y="216629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41</xdr:row>
      <xdr:rowOff>196272</xdr:rowOff>
    </xdr:from>
    <xdr:to>
      <xdr:col>10</xdr:col>
      <xdr:colOff>2320636</xdr:colOff>
      <xdr:row>41</xdr:row>
      <xdr:rowOff>346363</xdr:rowOff>
    </xdr:to>
    <xdr:sp macro="" textlink="">
      <xdr:nvSpPr>
        <xdr:cNvPr id="605" name="Isosceles Triangle 604">
          <a:extLst>
            <a:ext uri="{FF2B5EF4-FFF2-40B4-BE49-F238E27FC236}">
              <a16:creationId xmlns:a16="http://schemas.microsoft.com/office/drawing/2014/main" id="{C0258264-2FDF-4675-82CB-F7F787B6512B}"/>
            </a:ext>
          </a:extLst>
        </xdr:cNvPr>
        <xdr:cNvSpPr/>
      </xdr:nvSpPr>
      <xdr:spPr>
        <a:xfrm rot="10800000">
          <a:off x="14250388" y="222398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42</xdr:row>
      <xdr:rowOff>196272</xdr:rowOff>
    </xdr:from>
    <xdr:to>
      <xdr:col>10</xdr:col>
      <xdr:colOff>2320636</xdr:colOff>
      <xdr:row>42</xdr:row>
      <xdr:rowOff>346363</xdr:rowOff>
    </xdr:to>
    <xdr:sp macro="" textlink="">
      <xdr:nvSpPr>
        <xdr:cNvPr id="606" name="Isosceles Triangle 605">
          <a:extLst>
            <a:ext uri="{FF2B5EF4-FFF2-40B4-BE49-F238E27FC236}">
              <a16:creationId xmlns:a16="http://schemas.microsoft.com/office/drawing/2014/main" id="{2FED43D0-8921-4C89-AC3B-76B1364D6E6F}"/>
            </a:ext>
          </a:extLst>
        </xdr:cNvPr>
        <xdr:cNvSpPr/>
      </xdr:nvSpPr>
      <xdr:spPr>
        <a:xfrm rot="10800000">
          <a:off x="14250388" y="22816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44</xdr:row>
      <xdr:rowOff>196272</xdr:rowOff>
    </xdr:from>
    <xdr:to>
      <xdr:col>10</xdr:col>
      <xdr:colOff>2320636</xdr:colOff>
      <xdr:row>44</xdr:row>
      <xdr:rowOff>346363</xdr:rowOff>
    </xdr:to>
    <xdr:sp macro="" textlink="">
      <xdr:nvSpPr>
        <xdr:cNvPr id="607" name="Isosceles Triangle 606">
          <a:extLst>
            <a:ext uri="{FF2B5EF4-FFF2-40B4-BE49-F238E27FC236}">
              <a16:creationId xmlns:a16="http://schemas.microsoft.com/office/drawing/2014/main" id="{9667A524-6B96-4BA2-B1F0-04CC0CFAF660}"/>
            </a:ext>
          </a:extLst>
        </xdr:cNvPr>
        <xdr:cNvSpPr/>
      </xdr:nvSpPr>
      <xdr:spPr>
        <a:xfrm rot="10800000">
          <a:off x="14250388" y="23970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45</xdr:row>
      <xdr:rowOff>196272</xdr:rowOff>
    </xdr:from>
    <xdr:to>
      <xdr:col>10</xdr:col>
      <xdr:colOff>2320636</xdr:colOff>
      <xdr:row>45</xdr:row>
      <xdr:rowOff>346363</xdr:rowOff>
    </xdr:to>
    <xdr:sp macro="" textlink="">
      <xdr:nvSpPr>
        <xdr:cNvPr id="608" name="Isosceles Triangle 607">
          <a:extLst>
            <a:ext uri="{FF2B5EF4-FFF2-40B4-BE49-F238E27FC236}">
              <a16:creationId xmlns:a16="http://schemas.microsoft.com/office/drawing/2014/main" id="{4E7E7CEF-B284-45F6-9273-E1C58FFC3D30}"/>
            </a:ext>
          </a:extLst>
        </xdr:cNvPr>
        <xdr:cNvSpPr/>
      </xdr:nvSpPr>
      <xdr:spPr>
        <a:xfrm rot="10800000">
          <a:off x="14250388" y="24547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46</xdr:row>
      <xdr:rowOff>196272</xdr:rowOff>
    </xdr:from>
    <xdr:to>
      <xdr:col>10</xdr:col>
      <xdr:colOff>2320636</xdr:colOff>
      <xdr:row>46</xdr:row>
      <xdr:rowOff>346363</xdr:rowOff>
    </xdr:to>
    <xdr:sp macro="" textlink="">
      <xdr:nvSpPr>
        <xdr:cNvPr id="609" name="Isosceles Triangle 608">
          <a:extLst>
            <a:ext uri="{FF2B5EF4-FFF2-40B4-BE49-F238E27FC236}">
              <a16:creationId xmlns:a16="http://schemas.microsoft.com/office/drawing/2014/main" id="{CCDD43F5-8B6C-44C0-8911-E6ECC8B24509}"/>
            </a:ext>
          </a:extLst>
        </xdr:cNvPr>
        <xdr:cNvSpPr/>
      </xdr:nvSpPr>
      <xdr:spPr>
        <a:xfrm rot="10800000">
          <a:off x="14250388" y="25124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47</xdr:row>
      <xdr:rowOff>196272</xdr:rowOff>
    </xdr:from>
    <xdr:to>
      <xdr:col>10</xdr:col>
      <xdr:colOff>2320636</xdr:colOff>
      <xdr:row>47</xdr:row>
      <xdr:rowOff>346363</xdr:rowOff>
    </xdr:to>
    <xdr:sp macro="" textlink="">
      <xdr:nvSpPr>
        <xdr:cNvPr id="610" name="Isosceles Triangle 609">
          <a:extLst>
            <a:ext uri="{FF2B5EF4-FFF2-40B4-BE49-F238E27FC236}">
              <a16:creationId xmlns:a16="http://schemas.microsoft.com/office/drawing/2014/main" id="{DE7250B8-7F9D-4E4D-B4AC-ED409FBF8578}"/>
            </a:ext>
          </a:extLst>
        </xdr:cNvPr>
        <xdr:cNvSpPr/>
      </xdr:nvSpPr>
      <xdr:spPr>
        <a:xfrm rot="10800000">
          <a:off x="14250388" y="25701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48</xdr:row>
      <xdr:rowOff>196272</xdr:rowOff>
    </xdr:from>
    <xdr:to>
      <xdr:col>10</xdr:col>
      <xdr:colOff>2320636</xdr:colOff>
      <xdr:row>48</xdr:row>
      <xdr:rowOff>346363</xdr:rowOff>
    </xdr:to>
    <xdr:sp macro="" textlink="">
      <xdr:nvSpPr>
        <xdr:cNvPr id="611" name="Isosceles Triangle 610">
          <a:extLst>
            <a:ext uri="{FF2B5EF4-FFF2-40B4-BE49-F238E27FC236}">
              <a16:creationId xmlns:a16="http://schemas.microsoft.com/office/drawing/2014/main" id="{6D7E7F1B-A237-433A-A96F-8C3660498ABE}"/>
            </a:ext>
          </a:extLst>
        </xdr:cNvPr>
        <xdr:cNvSpPr/>
      </xdr:nvSpPr>
      <xdr:spPr>
        <a:xfrm rot="10800000">
          <a:off x="14250388" y="26278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44</xdr:row>
      <xdr:rowOff>196272</xdr:rowOff>
    </xdr:from>
    <xdr:to>
      <xdr:col>10</xdr:col>
      <xdr:colOff>2320636</xdr:colOff>
      <xdr:row>44</xdr:row>
      <xdr:rowOff>346363</xdr:rowOff>
    </xdr:to>
    <xdr:sp macro="" textlink="">
      <xdr:nvSpPr>
        <xdr:cNvPr id="612" name="Isosceles Triangle 611">
          <a:extLst>
            <a:ext uri="{FF2B5EF4-FFF2-40B4-BE49-F238E27FC236}">
              <a16:creationId xmlns:a16="http://schemas.microsoft.com/office/drawing/2014/main" id="{D8C3E784-5EC2-424F-89F6-DB5998B12937}"/>
            </a:ext>
          </a:extLst>
        </xdr:cNvPr>
        <xdr:cNvSpPr/>
      </xdr:nvSpPr>
      <xdr:spPr>
        <a:xfrm rot="10800000">
          <a:off x="14250388" y="23970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45</xdr:row>
      <xdr:rowOff>196272</xdr:rowOff>
    </xdr:from>
    <xdr:to>
      <xdr:col>10</xdr:col>
      <xdr:colOff>2320636</xdr:colOff>
      <xdr:row>45</xdr:row>
      <xdr:rowOff>346363</xdr:rowOff>
    </xdr:to>
    <xdr:sp macro="" textlink="">
      <xdr:nvSpPr>
        <xdr:cNvPr id="613" name="Isosceles Triangle 612">
          <a:extLst>
            <a:ext uri="{FF2B5EF4-FFF2-40B4-BE49-F238E27FC236}">
              <a16:creationId xmlns:a16="http://schemas.microsoft.com/office/drawing/2014/main" id="{6CFB9E31-B4CB-4238-AE89-4A6DEC64D8E7}"/>
            </a:ext>
          </a:extLst>
        </xdr:cNvPr>
        <xdr:cNvSpPr/>
      </xdr:nvSpPr>
      <xdr:spPr>
        <a:xfrm rot="10800000">
          <a:off x="14250388" y="24547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46</xdr:row>
      <xdr:rowOff>196272</xdr:rowOff>
    </xdr:from>
    <xdr:to>
      <xdr:col>10</xdr:col>
      <xdr:colOff>2320636</xdr:colOff>
      <xdr:row>46</xdr:row>
      <xdr:rowOff>346363</xdr:rowOff>
    </xdr:to>
    <xdr:sp macro="" textlink="">
      <xdr:nvSpPr>
        <xdr:cNvPr id="614" name="Isosceles Triangle 613">
          <a:extLst>
            <a:ext uri="{FF2B5EF4-FFF2-40B4-BE49-F238E27FC236}">
              <a16:creationId xmlns:a16="http://schemas.microsoft.com/office/drawing/2014/main" id="{1CB6C841-6C7C-4BBB-AC64-E68EB01919F0}"/>
            </a:ext>
          </a:extLst>
        </xdr:cNvPr>
        <xdr:cNvSpPr/>
      </xdr:nvSpPr>
      <xdr:spPr>
        <a:xfrm rot="10800000">
          <a:off x="14250388" y="25124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47</xdr:row>
      <xdr:rowOff>196272</xdr:rowOff>
    </xdr:from>
    <xdr:to>
      <xdr:col>10</xdr:col>
      <xdr:colOff>2320636</xdr:colOff>
      <xdr:row>47</xdr:row>
      <xdr:rowOff>346363</xdr:rowOff>
    </xdr:to>
    <xdr:sp macro="" textlink="">
      <xdr:nvSpPr>
        <xdr:cNvPr id="615" name="Isosceles Triangle 614">
          <a:extLst>
            <a:ext uri="{FF2B5EF4-FFF2-40B4-BE49-F238E27FC236}">
              <a16:creationId xmlns:a16="http://schemas.microsoft.com/office/drawing/2014/main" id="{244C772B-526E-4144-87ED-36E13C9E8912}"/>
            </a:ext>
          </a:extLst>
        </xdr:cNvPr>
        <xdr:cNvSpPr/>
      </xdr:nvSpPr>
      <xdr:spPr>
        <a:xfrm rot="10800000">
          <a:off x="14250388" y="25701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48</xdr:row>
      <xdr:rowOff>196272</xdr:rowOff>
    </xdr:from>
    <xdr:to>
      <xdr:col>10</xdr:col>
      <xdr:colOff>2320636</xdr:colOff>
      <xdr:row>48</xdr:row>
      <xdr:rowOff>346363</xdr:rowOff>
    </xdr:to>
    <xdr:sp macro="" textlink="">
      <xdr:nvSpPr>
        <xdr:cNvPr id="616" name="Isosceles Triangle 615">
          <a:extLst>
            <a:ext uri="{FF2B5EF4-FFF2-40B4-BE49-F238E27FC236}">
              <a16:creationId xmlns:a16="http://schemas.microsoft.com/office/drawing/2014/main" id="{2D207997-3A24-4B27-8208-C6F9131A6432}"/>
            </a:ext>
          </a:extLst>
        </xdr:cNvPr>
        <xdr:cNvSpPr/>
      </xdr:nvSpPr>
      <xdr:spPr>
        <a:xfrm rot="10800000">
          <a:off x="14250388" y="26278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45</xdr:row>
      <xdr:rowOff>196272</xdr:rowOff>
    </xdr:from>
    <xdr:to>
      <xdr:col>10</xdr:col>
      <xdr:colOff>2320636</xdr:colOff>
      <xdr:row>45</xdr:row>
      <xdr:rowOff>346363</xdr:rowOff>
    </xdr:to>
    <xdr:sp macro="" textlink="">
      <xdr:nvSpPr>
        <xdr:cNvPr id="617" name="Isosceles Triangle 616">
          <a:extLst>
            <a:ext uri="{FF2B5EF4-FFF2-40B4-BE49-F238E27FC236}">
              <a16:creationId xmlns:a16="http://schemas.microsoft.com/office/drawing/2014/main" id="{A82DD8A3-F59E-4012-82EC-48837342A684}"/>
            </a:ext>
          </a:extLst>
        </xdr:cNvPr>
        <xdr:cNvSpPr/>
      </xdr:nvSpPr>
      <xdr:spPr>
        <a:xfrm rot="10800000">
          <a:off x="14250388" y="24547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46</xdr:row>
      <xdr:rowOff>196272</xdr:rowOff>
    </xdr:from>
    <xdr:to>
      <xdr:col>10</xdr:col>
      <xdr:colOff>2320636</xdr:colOff>
      <xdr:row>46</xdr:row>
      <xdr:rowOff>346363</xdr:rowOff>
    </xdr:to>
    <xdr:sp macro="" textlink="">
      <xdr:nvSpPr>
        <xdr:cNvPr id="618" name="Isosceles Triangle 617">
          <a:extLst>
            <a:ext uri="{FF2B5EF4-FFF2-40B4-BE49-F238E27FC236}">
              <a16:creationId xmlns:a16="http://schemas.microsoft.com/office/drawing/2014/main" id="{D096684A-5DFC-4D8F-AEC4-B0867E549BD3}"/>
            </a:ext>
          </a:extLst>
        </xdr:cNvPr>
        <xdr:cNvSpPr/>
      </xdr:nvSpPr>
      <xdr:spPr>
        <a:xfrm rot="10800000">
          <a:off x="14250388" y="25124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47</xdr:row>
      <xdr:rowOff>196272</xdr:rowOff>
    </xdr:from>
    <xdr:to>
      <xdr:col>10</xdr:col>
      <xdr:colOff>2320636</xdr:colOff>
      <xdr:row>47</xdr:row>
      <xdr:rowOff>346363</xdr:rowOff>
    </xdr:to>
    <xdr:sp macro="" textlink="">
      <xdr:nvSpPr>
        <xdr:cNvPr id="619" name="Isosceles Triangle 618">
          <a:extLst>
            <a:ext uri="{FF2B5EF4-FFF2-40B4-BE49-F238E27FC236}">
              <a16:creationId xmlns:a16="http://schemas.microsoft.com/office/drawing/2014/main" id="{5BA22021-0ED0-48B7-B7C6-E5747046F346}"/>
            </a:ext>
          </a:extLst>
        </xdr:cNvPr>
        <xdr:cNvSpPr/>
      </xdr:nvSpPr>
      <xdr:spPr>
        <a:xfrm rot="10800000">
          <a:off x="14250388" y="25701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48</xdr:row>
      <xdr:rowOff>196272</xdr:rowOff>
    </xdr:from>
    <xdr:to>
      <xdr:col>10</xdr:col>
      <xdr:colOff>2320636</xdr:colOff>
      <xdr:row>48</xdr:row>
      <xdr:rowOff>346363</xdr:rowOff>
    </xdr:to>
    <xdr:sp macro="" textlink="">
      <xdr:nvSpPr>
        <xdr:cNvPr id="620" name="Isosceles Triangle 619">
          <a:extLst>
            <a:ext uri="{FF2B5EF4-FFF2-40B4-BE49-F238E27FC236}">
              <a16:creationId xmlns:a16="http://schemas.microsoft.com/office/drawing/2014/main" id="{9FCA88F3-EA9E-4BAE-8C3C-0936B10FB8C5}"/>
            </a:ext>
          </a:extLst>
        </xdr:cNvPr>
        <xdr:cNvSpPr/>
      </xdr:nvSpPr>
      <xdr:spPr>
        <a:xfrm rot="10800000">
          <a:off x="14250388" y="26278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44</xdr:row>
      <xdr:rowOff>196272</xdr:rowOff>
    </xdr:from>
    <xdr:to>
      <xdr:col>10</xdr:col>
      <xdr:colOff>2320636</xdr:colOff>
      <xdr:row>44</xdr:row>
      <xdr:rowOff>346363</xdr:rowOff>
    </xdr:to>
    <xdr:sp macro="" textlink="">
      <xdr:nvSpPr>
        <xdr:cNvPr id="621" name="Isosceles Triangle 620">
          <a:extLst>
            <a:ext uri="{FF2B5EF4-FFF2-40B4-BE49-F238E27FC236}">
              <a16:creationId xmlns:a16="http://schemas.microsoft.com/office/drawing/2014/main" id="{874599D2-FF4A-4DB2-9208-6CE7501965CD}"/>
            </a:ext>
          </a:extLst>
        </xdr:cNvPr>
        <xdr:cNvSpPr/>
      </xdr:nvSpPr>
      <xdr:spPr>
        <a:xfrm rot="10800000">
          <a:off x="14250388" y="23970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45</xdr:row>
      <xdr:rowOff>196272</xdr:rowOff>
    </xdr:from>
    <xdr:to>
      <xdr:col>10</xdr:col>
      <xdr:colOff>2320636</xdr:colOff>
      <xdr:row>45</xdr:row>
      <xdr:rowOff>346363</xdr:rowOff>
    </xdr:to>
    <xdr:sp macro="" textlink="">
      <xdr:nvSpPr>
        <xdr:cNvPr id="622" name="Isosceles Triangle 621">
          <a:extLst>
            <a:ext uri="{FF2B5EF4-FFF2-40B4-BE49-F238E27FC236}">
              <a16:creationId xmlns:a16="http://schemas.microsoft.com/office/drawing/2014/main" id="{7DBE1A20-1631-4EFC-B244-5005713EFD82}"/>
            </a:ext>
          </a:extLst>
        </xdr:cNvPr>
        <xdr:cNvSpPr/>
      </xdr:nvSpPr>
      <xdr:spPr>
        <a:xfrm rot="10800000">
          <a:off x="14250388" y="24547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46</xdr:row>
      <xdr:rowOff>196272</xdr:rowOff>
    </xdr:from>
    <xdr:to>
      <xdr:col>10</xdr:col>
      <xdr:colOff>2320636</xdr:colOff>
      <xdr:row>46</xdr:row>
      <xdr:rowOff>346363</xdr:rowOff>
    </xdr:to>
    <xdr:sp macro="" textlink="">
      <xdr:nvSpPr>
        <xdr:cNvPr id="623" name="Isosceles Triangle 622">
          <a:extLst>
            <a:ext uri="{FF2B5EF4-FFF2-40B4-BE49-F238E27FC236}">
              <a16:creationId xmlns:a16="http://schemas.microsoft.com/office/drawing/2014/main" id="{62818A28-40B3-4B15-82B9-C01A1C4AAEC7}"/>
            </a:ext>
          </a:extLst>
        </xdr:cNvPr>
        <xdr:cNvSpPr/>
      </xdr:nvSpPr>
      <xdr:spPr>
        <a:xfrm rot="10800000">
          <a:off x="14250388" y="25124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47</xdr:row>
      <xdr:rowOff>196272</xdr:rowOff>
    </xdr:from>
    <xdr:to>
      <xdr:col>10</xdr:col>
      <xdr:colOff>2320636</xdr:colOff>
      <xdr:row>47</xdr:row>
      <xdr:rowOff>346363</xdr:rowOff>
    </xdr:to>
    <xdr:sp macro="" textlink="">
      <xdr:nvSpPr>
        <xdr:cNvPr id="624" name="Isosceles Triangle 623">
          <a:extLst>
            <a:ext uri="{FF2B5EF4-FFF2-40B4-BE49-F238E27FC236}">
              <a16:creationId xmlns:a16="http://schemas.microsoft.com/office/drawing/2014/main" id="{62E86D6F-012E-4919-8425-8C42AFA3F92D}"/>
            </a:ext>
          </a:extLst>
        </xdr:cNvPr>
        <xdr:cNvSpPr/>
      </xdr:nvSpPr>
      <xdr:spPr>
        <a:xfrm rot="10800000">
          <a:off x="14250388" y="25701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48</xdr:row>
      <xdr:rowOff>196272</xdr:rowOff>
    </xdr:from>
    <xdr:to>
      <xdr:col>10</xdr:col>
      <xdr:colOff>2320636</xdr:colOff>
      <xdr:row>48</xdr:row>
      <xdr:rowOff>346363</xdr:rowOff>
    </xdr:to>
    <xdr:sp macro="" textlink="">
      <xdr:nvSpPr>
        <xdr:cNvPr id="625" name="Isosceles Triangle 624">
          <a:extLst>
            <a:ext uri="{FF2B5EF4-FFF2-40B4-BE49-F238E27FC236}">
              <a16:creationId xmlns:a16="http://schemas.microsoft.com/office/drawing/2014/main" id="{268F844E-64EA-4005-B745-6932F7CC7F3C}"/>
            </a:ext>
          </a:extLst>
        </xdr:cNvPr>
        <xdr:cNvSpPr/>
      </xdr:nvSpPr>
      <xdr:spPr>
        <a:xfrm rot="10800000">
          <a:off x="14250388" y="26278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45</xdr:row>
      <xdr:rowOff>196272</xdr:rowOff>
    </xdr:from>
    <xdr:to>
      <xdr:col>10</xdr:col>
      <xdr:colOff>2320636</xdr:colOff>
      <xdr:row>45</xdr:row>
      <xdr:rowOff>346363</xdr:rowOff>
    </xdr:to>
    <xdr:sp macro="" textlink="">
      <xdr:nvSpPr>
        <xdr:cNvPr id="626" name="Isosceles Triangle 625">
          <a:extLst>
            <a:ext uri="{FF2B5EF4-FFF2-40B4-BE49-F238E27FC236}">
              <a16:creationId xmlns:a16="http://schemas.microsoft.com/office/drawing/2014/main" id="{ABD70BF6-9BAD-4408-B84A-1A6107A09CF1}"/>
            </a:ext>
          </a:extLst>
        </xdr:cNvPr>
        <xdr:cNvSpPr/>
      </xdr:nvSpPr>
      <xdr:spPr>
        <a:xfrm rot="10800000">
          <a:off x="14250388" y="24547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46</xdr:row>
      <xdr:rowOff>196272</xdr:rowOff>
    </xdr:from>
    <xdr:to>
      <xdr:col>10</xdr:col>
      <xdr:colOff>2320636</xdr:colOff>
      <xdr:row>46</xdr:row>
      <xdr:rowOff>346363</xdr:rowOff>
    </xdr:to>
    <xdr:sp macro="" textlink="">
      <xdr:nvSpPr>
        <xdr:cNvPr id="627" name="Isosceles Triangle 626">
          <a:extLst>
            <a:ext uri="{FF2B5EF4-FFF2-40B4-BE49-F238E27FC236}">
              <a16:creationId xmlns:a16="http://schemas.microsoft.com/office/drawing/2014/main" id="{E87CF524-D484-42EF-A1A5-9A047A2620C4}"/>
            </a:ext>
          </a:extLst>
        </xdr:cNvPr>
        <xdr:cNvSpPr/>
      </xdr:nvSpPr>
      <xdr:spPr>
        <a:xfrm rot="10800000">
          <a:off x="14250388" y="25124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47</xdr:row>
      <xdr:rowOff>196272</xdr:rowOff>
    </xdr:from>
    <xdr:to>
      <xdr:col>10</xdr:col>
      <xdr:colOff>2320636</xdr:colOff>
      <xdr:row>47</xdr:row>
      <xdr:rowOff>346363</xdr:rowOff>
    </xdr:to>
    <xdr:sp macro="" textlink="">
      <xdr:nvSpPr>
        <xdr:cNvPr id="628" name="Isosceles Triangle 627">
          <a:extLst>
            <a:ext uri="{FF2B5EF4-FFF2-40B4-BE49-F238E27FC236}">
              <a16:creationId xmlns:a16="http://schemas.microsoft.com/office/drawing/2014/main" id="{BC2AA42E-50D4-4483-8C21-8EA3CEB14519}"/>
            </a:ext>
          </a:extLst>
        </xdr:cNvPr>
        <xdr:cNvSpPr/>
      </xdr:nvSpPr>
      <xdr:spPr>
        <a:xfrm rot="10800000">
          <a:off x="14250388" y="25701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48</xdr:row>
      <xdr:rowOff>196272</xdr:rowOff>
    </xdr:from>
    <xdr:to>
      <xdr:col>10</xdr:col>
      <xdr:colOff>2320636</xdr:colOff>
      <xdr:row>48</xdr:row>
      <xdr:rowOff>346363</xdr:rowOff>
    </xdr:to>
    <xdr:sp macro="" textlink="">
      <xdr:nvSpPr>
        <xdr:cNvPr id="629" name="Isosceles Triangle 628">
          <a:extLst>
            <a:ext uri="{FF2B5EF4-FFF2-40B4-BE49-F238E27FC236}">
              <a16:creationId xmlns:a16="http://schemas.microsoft.com/office/drawing/2014/main" id="{0DD5D3A2-F85D-4B7B-A855-A7E753770717}"/>
            </a:ext>
          </a:extLst>
        </xdr:cNvPr>
        <xdr:cNvSpPr/>
      </xdr:nvSpPr>
      <xdr:spPr>
        <a:xfrm rot="10800000">
          <a:off x="14250388" y="26278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50</xdr:row>
      <xdr:rowOff>196272</xdr:rowOff>
    </xdr:from>
    <xdr:to>
      <xdr:col>10</xdr:col>
      <xdr:colOff>2320636</xdr:colOff>
      <xdr:row>50</xdr:row>
      <xdr:rowOff>346363</xdr:rowOff>
    </xdr:to>
    <xdr:sp macro="" textlink="">
      <xdr:nvSpPr>
        <xdr:cNvPr id="630" name="Isosceles Triangle 629">
          <a:extLst>
            <a:ext uri="{FF2B5EF4-FFF2-40B4-BE49-F238E27FC236}">
              <a16:creationId xmlns:a16="http://schemas.microsoft.com/office/drawing/2014/main" id="{B77C3BB5-B718-4A6D-BEBF-B0202E1844BC}"/>
            </a:ext>
          </a:extLst>
        </xdr:cNvPr>
        <xdr:cNvSpPr/>
      </xdr:nvSpPr>
      <xdr:spPr>
        <a:xfrm rot="10800000">
          <a:off x="14250388" y="27432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51</xdr:row>
      <xdr:rowOff>196272</xdr:rowOff>
    </xdr:from>
    <xdr:to>
      <xdr:col>10</xdr:col>
      <xdr:colOff>2320636</xdr:colOff>
      <xdr:row>51</xdr:row>
      <xdr:rowOff>346363</xdr:rowOff>
    </xdr:to>
    <xdr:sp macro="" textlink="">
      <xdr:nvSpPr>
        <xdr:cNvPr id="631" name="Isosceles Triangle 630">
          <a:extLst>
            <a:ext uri="{FF2B5EF4-FFF2-40B4-BE49-F238E27FC236}">
              <a16:creationId xmlns:a16="http://schemas.microsoft.com/office/drawing/2014/main" id="{24906224-973C-4131-8DEC-0103103B84CE}"/>
            </a:ext>
          </a:extLst>
        </xdr:cNvPr>
        <xdr:cNvSpPr/>
      </xdr:nvSpPr>
      <xdr:spPr>
        <a:xfrm rot="10800000">
          <a:off x="14250388" y="28085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52</xdr:row>
      <xdr:rowOff>196272</xdr:rowOff>
    </xdr:from>
    <xdr:to>
      <xdr:col>10</xdr:col>
      <xdr:colOff>2320636</xdr:colOff>
      <xdr:row>52</xdr:row>
      <xdr:rowOff>346363</xdr:rowOff>
    </xdr:to>
    <xdr:sp macro="" textlink="">
      <xdr:nvSpPr>
        <xdr:cNvPr id="632" name="Isosceles Triangle 631">
          <a:extLst>
            <a:ext uri="{FF2B5EF4-FFF2-40B4-BE49-F238E27FC236}">
              <a16:creationId xmlns:a16="http://schemas.microsoft.com/office/drawing/2014/main" id="{821BCA94-787E-46B0-A3B3-3CAC784384A1}"/>
            </a:ext>
          </a:extLst>
        </xdr:cNvPr>
        <xdr:cNvSpPr/>
      </xdr:nvSpPr>
      <xdr:spPr>
        <a:xfrm rot="10800000">
          <a:off x="14250388" y="28662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53</xdr:row>
      <xdr:rowOff>196272</xdr:rowOff>
    </xdr:from>
    <xdr:to>
      <xdr:col>10</xdr:col>
      <xdr:colOff>2320636</xdr:colOff>
      <xdr:row>53</xdr:row>
      <xdr:rowOff>346363</xdr:rowOff>
    </xdr:to>
    <xdr:sp macro="" textlink="">
      <xdr:nvSpPr>
        <xdr:cNvPr id="633" name="Isosceles Triangle 632">
          <a:extLst>
            <a:ext uri="{FF2B5EF4-FFF2-40B4-BE49-F238E27FC236}">
              <a16:creationId xmlns:a16="http://schemas.microsoft.com/office/drawing/2014/main" id="{1305D1A9-7C86-406D-BE10-C796580FC4F6}"/>
            </a:ext>
          </a:extLst>
        </xdr:cNvPr>
        <xdr:cNvSpPr/>
      </xdr:nvSpPr>
      <xdr:spPr>
        <a:xfrm rot="10800000">
          <a:off x="14250388" y="29239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54</xdr:row>
      <xdr:rowOff>196272</xdr:rowOff>
    </xdr:from>
    <xdr:to>
      <xdr:col>10</xdr:col>
      <xdr:colOff>2320636</xdr:colOff>
      <xdr:row>54</xdr:row>
      <xdr:rowOff>346363</xdr:rowOff>
    </xdr:to>
    <xdr:sp macro="" textlink="">
      <xdr:nvSpPr>
        <xdr:cNvPr id="634" name="Isosceles Triangle 633">
          <a:extLst>
            <a:ext uri="{FF2B5EF4-FFF2-40B4-BE49-F238E27FC236}">
              <a16:creationId xmlns:a16="http://schemas.microsoft.com/office/drawing/2014/main" id="{4C34FFCE-A85A-4C68-9714-789DC9ADCAC5}"/>
            </a:ext>
          </a:extLst>
        </xdr:cNvPr>
        <xdr:cNvSpPr/>
      </xdr:nvSpPr>
      <xdr:spPr>
        <a:xfrm rot="10800000">
          <a:off x="14250388" y="29816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50</xdr:row>
      <xdr:rowOff>196272</xdr:rowOff>
    </xdr:from>
    <xdr:to>
      <xdr:col>10</xdr:col>
      <xdr:colOff>2320636</xdr:colOff>
      <xdr:row>50</xdr:row>
      <xdr:rowOff>346363</xdr:rowOff>
    </xdr:to>
    <xdr:sp macro="" textlink="">
      <xdr:nvSpPr>
        <xdr:cNvPr id="635" name="Isosceles Triangle 634">
          <a:extLst>
            <a:ext uri="{FF2B5EF4-FFF2-40B4-BE49-F238E27FC236}">
              <a16:creationId xmlns:a16="http://schemas.microsoft.com/office/drawing/2014/main" id="{35E4DA65-EB7F-46F2-85F0-3A6E4D4027BB}"/>
            </a:ext>
          </a:extLst>
        </xdr:cNvPr>
        <xdr:cNvSpPr/>
      </xdr:nvSpPr>
      <xdr:spPr>
        <a:xfrm rot="10800000">
          <a:off x="14250388" y="27432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51</xdr:row>
      <xdr:rowOff>196272</xdr:rowOff>
    </xdr:from>
    <xdr:to>
      <xdr:col>10</xdr:col>
      <xdr:colOff>2320636</xdr:colOff>
      <xdr:row>51</xdr:row>
      <xdr:rowOff>346363</xdr:rowOff>
    </xdr:to>
    <xdr:sp macro="" textlink="">
      <xdr:nvSpPr>
        <xdr:cNvPr id="636" name="Isosceles Triangle 635">
          <a:extLst>
            <a:ext uri="{FF2B5EF4-FFF2-40B4-BE49-F238E27FC236}">
              <a16:creationId xmlns:a16="http://schemas.microsoft.com/office/drawing/2014/main" id="{DE792903-BDBF-4BF6-A298-6DECFC9012E6}"/>
            </a:ext>
          </a:extLst>
        </xdr:cNvPr>
        <xdr:cNvSpPr/>
      </xdr:nvSpPr>
      <xdr:spPr>
        <a:xfrm rot="10800000">
          <a:off x="14250388" y="28085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52</xdr:row>
      <xdr:rowOff>196272</xdr:rowOff>
    </xdr:from>
    <xdr:to>
      <xdr:col>10</xdr:col>
      <xdr:colOff>2320636</xdr:colOff>
      <xdr:row>52</xdr:row>
      <xdr:rowOff>346363</xdr:rowOff>
    </xdr:to>
    <xdr:sp macro="" textlink="">
      <xdr:nvSpPr>
        <xdr:cNvPr id="637" name="Isosceles Triangle 636">
          <a:extLst>
            <a:ext uri="{FF2B5EF4-FFF2-40B4-BE49-F238E27FC236}">
              <a16:creationId xmlns:a16="http://schemas.microsoft.com/office/drawing/2014/main" id="{8DCFEC4A-45DA-4950-9AF5-9EEDA34239DF}"/>
            </a:ext>
          </a:extLst>
        </xdr:cNvPr>
        <xdr:cNvSpPr/>
      </xdr:nvSpPr>
      <xdr:spPr>
        <a:xfrm rot="10800000">
          <a:off x="14250388" y="28662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53</xdr:row>
      <xdr:rowOff>196272</xdr:rowOff>
    </xdr:from>
    <xdr:to>
      <xdr:col>10</xdr:col>
      <xdr:colOff>2320636</xdr:colOff>
      <xdr:row>53</xdr:row>
      <xdr:rowOff>346363</xdr:rowOff>
    </xdr:to>
    <xdr:sp macro="" textlink="">
      <xdr:nvSpPr>
        <xdr:cNvPr id="638" name="Isosceles Triangle 637">
          <a:extLst>
            <a:ext uri="{FF2B5EF4-FFF2-40B4-BE49-F238E27FC236}">
              <a16:creationId xmlns:a16="http://schemas.microsoft.com/office/drawing/2014/main" id="{B58F74E4-6814-4EC8-B030-44741E196907}"/>
            </a:ext>
          </a:extLst>
        </xdr:cNvPr>
        <xdr:cNvSpPr/>
      </xdr:nvSpPr>
      <xdr:spPr>
        <a:xfrm rot="10800000">
          <a:off x="14250388" y="29239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54</xdr:row>
      <xdr:rowOff>196272</xdr:rowOff>
    </xdr:from>
    <xdr:to>
      <xdr:col>10</xdr:col>
      <xdr:colOff>2320636</xdr:colOff>
      <xdr:row>54</xdr:row>
      <xdr:rowOff>346363</xdr:rowOff>
    </xdr:to>
    <xdr:sp macro="" textlink="">
      <xdr:nvSpPr>
        <xdr:cNvPr id="639" name="Isosceles Triangle 638">
          <a:extLst>
            <a:ext uri="{FF2B5EF4-FFF2-40B4-BE49-F238E27FC236}">
              <a16:creationId xmlns:a16="http://schemas.microsoft.com/office/drawing/2014/main" id="{D5280A7F-9F64-47D3-9FCF-539BD478F78C}"/>
            </a:ext>
          </a:extLst>
        </xdr:cNvPr>
        <xdr:cNvSpPr/>
      </xdr:nvSpPr>
      <xdr:spPr>
        <a:xfrm rot="10800000">
          <a:off x="14250388" y="29816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51</xdr:row>
      <xdr:rowOff>196272</xdr:rowOff>
    </xdr:from>
    <xdr:to>
      <xdr:col>10</xdr:col>
      <xdr:colOff>2320636</xdr:colOff>
      <xdr:row>51</xdr:row>
      <xdr:rowOff>346363</xdr:rowOff>
    </xdr:to>
    <xdr:sp macro="" textlink="">
      <xdr:nvSpPr>
        <xdr:cNvPr id="640" name="Isosceles Triangle 639">
          <a:extLst>
            <a:ext uri="{FF2B5EF4-FFF2-40B4-BE49-F238E27FC236}">
              <a16:creationId xmlns:a16="http://schemas.microsoft.com/office/drawing/2014/main" id="{AB9EE0A2-8D05-49B1-BE70-7E9F766DE53A}"/>
            </a:ext>
          </a:extLst>
        </xdr:cNvPr>
        <xdr:cNvSpPr/>
      </xdr:nvSpPr>
      <xdr:spPr>
        <a:xfrm rot="10800000">
          <a:off x="14250388" y="28085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52</xdr:row>
      <xdr:rowOff>196272</xdr:rowOff>
    </xdr:from>
    <xdr:to>
      <xdr:col>10</xdr:col>
      <xdr:colOff>2320636</xdr:colOff>
      <xdr:row>52</xdr:row>
      <xdr:rowOff>346363</xdr:rowOff>
    </xdr:to>
    <xdr:sp macro="" textlink="">
      <xdr:nvSpPr>
        <xdr:cNvPr id="641" name="Isosceles Triangle 640">
          <a:extLst>
            <a:ext uri="{FF2B5EF4-FFF2-40B4-BE49-F238E27FC236}">
              <a16:creationId xmlns:a16="http://schemas.microsoft.com/office/drawing/2014/main" id="{2886751A-FDB0-4A69-86E6-030FCDBA6CDB}"/>
            </a:ext>
          </a:extLst>
        </xdr:cNvPr>
        <xdr:cNvSpPr/>
      </xdr:nvSpPr>
      <xdr:spPr>
        <a:xfrm rot="10800000">
          <a:off x="14250388" y="28662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53</xdr:row>
      <xdr:rowOff>196272</xdr:rowOff>
    </xdr:from>
    <xdr:to>
      <xdr:col>10</xdr:col>
      <xdr:colOff>2320636</xdr:colOff>
      <xdr:row>53</xdr:row>
      <xdr:rowOff>346363</xdr:rowOff>
    </xdr:to>
    <xdr:sp macro="" textlink="">
      <xdr:nvSpPr>
        <xdr:cNvPr id="642" name="Isosceles Triangle 641">
          <a:extLst>
            <a:ext uri="{FF2B5EF4-FFF2-40B4-BE49-F238E27FC236}">
              <a16:creationId xmlns:a16="http://schemas.microsoft.com/office/drawing/2014/main" id="{BA13ACE2-25AD-43B9-8BA8-6425D3C91C8D}"/>
            </a:ext>
          </a:extLst>
        </xdr:cNvPr>
        <xdr:cNvSpPr/>
      </xdr:nvSpPr>
      <xdr:spPr>
        <a:xfrm rot="10800000">
          <a:off x="14250388" y="29239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54</xdr:row>
      <xdr:rowOff>196272</xdr:rowOff>
    </xdr:from>
    <xdr:to>
      <xdr:col>10</xdr:col>
      <xdr:colOff>2320636</xdr:colOff>
      <xdr:row>54</xdr:row>
      <xdr:rowOff>346363</xdr:rowOff>
    </xdr:to>
    <xdr:sp macro="" textlink="">
      <xdr:nvSpPr>
        <xdr:cNvPr id="643" name="Isosceles Triangle 642">
          <a:extLst>
            <a:ext uri="{FF2B5EF4-FFF2-40B4-BE49-F238E27FC236}">
              <a16:creationId xmlns:a16="http://schemas.microsoft.com/office/drawing/2014/main" id="{9EA13C45-605C-4DB7-938B-FD65814F2E14}"/>
            </a:ext>
          </a:extLst>
        </xdr:cNvPr>
        <xdr:cNvSpPr/>
      </xdr:nvSpPr>
      <xdr:spPr>
        <a:xfrm rot="10800000">
          <a:off x="14250388" y="29816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50</xdr:row>
      <xdr:rowOff>196272</xdr:rowOff>
    </xdr:from>
    <xdr:to>
      <xdr:col>10</xdr:col>
      <xdr:colOff>2320636</xdr:colOff>
      <xdr:row>50</xdr:row>
      <xdr:rowOff>346363</xdr:rowOff>
    </xdr:to>
    <xdr:sp macro="" textlink="">
      <xdr:nvSpPr>
        <xdr:cNvPr id="644" name="Isosceles Triangle 643">
          <a:extLst>
            <a:ext uri="{FF2B5EF4-FFF2-40B4-BE49-F238E27FC236}">
              <a16:creationId xmlns:a16="http://schemas.microsoft.com/office/drawing/2014/main" id="{F7E84803-ED23-483E-861E-7709593622FC}"/>
            </a:ext>
          </a:extLst>
        </xdr:cNvPr>
        <xdr:cNvSpPr/>
      </xdr:nvSpPr>
      <xdr:spPr>
        <a:xfrm rot="10800000">
          <a:off x="14250388" y="27432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51</xdr:row>
      <xdr:rowOff>196272</xdr:rowOff>
    </xdr:from>
    <xdr:to>
      <xdr:col>10</xdr:col>
      <xdr:colOff>2320636</xdr:colOff>
      <xdr:row>51</xdr:row>
      <xdr:rowOff>346363</xdr:rowOff>
    </xdr:to>
    <xdr:sp macro="" textlink="">
      <xdr:nvSpPr>
        <xdr:cNvPr id="645" name="Isosceles Triangle 644">
          <a:extLst>
            <a:ext uri="{FF2B5EF4-FFF2-40B4-BE49-F238E27FC236}">
              <a16:creationId xmlns:a16="http://schemas.microsoft.com/office/drawing/2014/main" id="{8BA13CE0-0496-4D5E-83D7-9F0E05BCAB87}"/>
            </a:ext>
          </a:extLst>
        </xdr:cNvPr>
        <xdr:cNvSpPr/>
      </xdr:nvSpPr>
      <xdr:spPr>
        <a:xfrm rot="10800000">
          <a:off x="14250388" y="28085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52</xdr:row>
      <xdr:rowOff>196272</xdr:rowOff>
    </xdr:from>
    <xdr:to>
      <xdr:col>10</xdr:col>
      <xdr:colOff>2320636</xdr:colOff>
      <xdr:row>52</xdr:row>
      <xdr:rowOff>346363</xdr:rowOff>
    </xdr:to>
    <xdr:sp macro="" textlink="">
      <xdr:nvSpPr>
        <xdr:cNvPr id="646" name="Isosceles Triangle 645">
          <a:extLst>
            <a:ext uri="{FF2B5EF4-FFF2-40B4-BE49-F238E27FC236}">
              <a16:creationId xmlns:a16="http://schemas.microsoft.com/office/drawing/2014/main" id="{F8F45070-6430-43CD-8485-1FA27511D3F7}"/>
            </a:ext>
          </a:extLst>
        </xdr:cNvPr>
        <xdr:cNvSpPr/>
      </xdr:nvSpPr>
      <xdr:spPr>
        <a:xfrm rot="10800000">
          <a:off x="14250388" y="28662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53</xdr:row>
      <xdr:rowOff>196272</xdr:rowOff>
    </xdr:from>
    <xdr:to>
      <xdr:col>10</xdr:col>
      <xdr:colOff>2320636</xdr:colOff>
      <xdr:row>53</xdr:row>
      <xdr:rowOff>346363</xdr:rowOff>
    </xdr:to>
    <xdr:sp macro="" textlink="">
      <xdr:nvSpPr>
        <xdr:cNvPr id="647" name="Isosceles Triangle 646">
          <a:extLst>
            <a:ext uri="{FF2B5EF4-FFF2-40B4-BE49-F238E27FC236}">
              <a16:creationId xmlns:a16="http://schemas.microsoft.com/office/drawing/2014/main" id="{0C090CA1-B135-4ED5-9C2D-4729D8EB8008}"/>
            </a:ext>
          </a:extLst>
        </xdr:cNvPr>
        <xdr:cNvSpPr/>
      </xdr:nvSpPr>
      <xdr:spPr>
        <a:xfrm rot="10800000">
          <a:off x="14250388" y="29239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54</xdr:row>
      <xdr:rowOff>196272</xdr:rowOff>
    </xdr:from>
    <xdr:to>
      <xdr:col>10</xdr:col>
      <xdr:colOff>2320636</xdr:colOff>
      <xdr:row>54</xdr:row>
      <xdr:rowOff>346363</xdr:rowOff>
    </xdr:to>
    <xdr:sp macro="" textlink="">
      <xdr:nvSpPr>
        <xdr:cNvPr id="648" name="Isosceles Triangle 647">
          <a:extLst>
            <a:ext uri="{FF2B5EF4-FFF2-40B4-BE49-F238E27FC236}">
              <a16:creationId xmlns:a16="http://schemas.microsoft.com/office/drawing/2014/main" id="{28D4FD15-156E-430D-B236-B0C4EA6007DA}"/>
            </a:ext>
          </a:extLst>
        </xdr:cNvPr>
        <xdr:cNvSpPr/>
      </xdr:nvSpPr>
      <xdr:spPr>
        <a:xfrm rot="10800000">
          <a:off x="14250388" y="29816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51</xdr:row>
      <xdr:rowOff>196272</xdr:rowOff>
    </xdr:from>
    <xdr:to>
      <xdr:col>10</xdr:col>
      <xdr:colOff>2320636</xdr:colOff>
      <xdr:row>51</xdr:row>
      <xdr:rowOff>346363</xdr:rowOff>
    </xdr:to>
    <xdr:sp macro="" textlink="">
      <xdr:nvSpPr>
        <xdr:cNvPr id="649" name="Isosceles Triangle 648">
          <a:extLst>
            <a:ext uri="{FF2B5EF4-FFF2-40B4-BE49-F238E27FC236}">
              <a16:creationId xmlns:a16="http://schemas.microsoft.com/office/drawing/2014/main" id="{2688FCD1-6EC4-4042-AE60-C207B018A7D6}"/>
            </a:ext>
          </a:extLst>
        </xdr:cNvPr>
        <xdr:cNvSpPr/>
      </xdr:nvSpPr>
      <xdr:spPr>
        <a:xfrm rot="10800000">
          <a:off x="14250388" y="28085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52</xdr:row>
      <xdr:rowOff>196272</xdr:rowOff>
    </xdr:from>
    <xdr:to>
      <xdr:col>10</xdr:col>
      <xdr:colOff>2320636</xdr:colOff>
      <xdr:row>52</xdr:row>
      <xdr:rowOff>346363</xdr:rowOff>
    </xdr:to>
    <xdr:sp macro="" textlink="">
      <xdr:nvSpPr>
        <xdr:cNvPr id="650" name="Isosceles Triangle 649">
          <a:extLst>
            <a:ext uri="{FF2B5EF4-FFF2-40B4-BE49-F238E27FC236}">
              <a16:creationId xmlns:a16="http://schemas.microsoft.com/office/drawing/2014/main" id="{96A6F960-E8E5-417B-AEF8-5D8323F0533B}"/>
            </a:ext>
          </a:extLst>
        </xdr:cNvPr>
        <xdr:cNvSpPr/>
      </xdr:nvSpPr>
      <xdr:spPr>
        <a:xfrm rot="10800000">
          <a:off x="14250388" y="28662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53</xdr:row>
      <xdr:rowOff>196272</xdr:rowOff>
    </xdr:from>
    <xdr:to>
      <xdr:col>10</xdr:col>
      <xdr:colOff>2320636</xdr:colOff>
      <xdr:row>53</xdr:row>
      <xdr:rowOff>346363</xdr:rowOff>
    </xdr:to>
    <xdr:sp macro="" textlink="">
      <xdr:nvSpPr>
        <xdr:cNvPr id="651" name="Isosceles Triangle 650">
          <a:extLst>
            <a:ext uri="{FF2B5EF4-FFF2-40B4-BE49-F238E27FC236}">
              <a16:creationId xmlns:a16="http://schemas.microsoft.com/office/drawing/2014/main" id="{36E546AD-30C2-494C-8BA4-43C1ED48B819}"/>
            </a:ext>
          </a:extLst>
        </xdr:cNvPr>
        <xdr:cNvSpPr/>
      </xdr:nvSpPr>
      <xdr:spPr>
        <a:xfrm rot="10800000">
          <a:off x="14250388" y="29239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54</xdr:row>
      <xdr:rowOff>196272</xdr:rowOff>
    </xdr:from>
    <xdr:to>
      <xdr:col>10</xdr:col>
      <xdr:colOff>2320636</xdr:colOff>
      <xdr:row>54</xdr:row>
      <xdr:rowOff>346363</xdr:rowOff>
    </xdr:to>
    <xdr:sp macro="" textlink="">
      <xdr:nvSpPr>
        <xdr:cNvPr id="652" name="Isosceles Triangle 651">
          <a:extLst>
            <a:ext uri="{FF2B5EF4-FFF2-40B4-BE49-F238E27FC236}">
              <a16:creationId xmlns:a16="http://schemas.microsoft.com/office/drawing/2014/main" id="{5607BC0C-0C4B-4E3B-A601-45A1881F8202}"/>
            </a:ext>
          </a:extLst>
        </xdr:cNvPr>
        <xdr:cNvSpPr/>
      </xdr:nvSpPr>
      <xdr:spPr>
        <a:xfrm rot="10800000">
          <a:off x="14250388" y="29816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56</xdr:row>
      <xdr:rowOff>196272</xdr:rowOff>
    </xdr:from>
    <xdr:to>
      <xdr:col>10</xdr:col>
      <xdr:colOff>2320636</xdr:colOff>
      <xdr:row>56</xdr:row>
      <xdr:rowOff>346363</xdr:rowOff>
    </xdr:to>
    <xdr:sp macro="" textlink="">
      <xdr:nvSpPr>
        <xdr:cNvPr id="653" name="Isosceles Triangle 652">
          <a:extLst>
            <a:ext uri="{FF2B5EF4-FFF2-40B4-BE49-F238E27FC236}">
              <a16:creationId xmlns:a16="http://schemas.microsoft.com/office/drawing/2014/main" id="{00430DEC-4453-4829-8A57-EDB48D6BE7C3}"/>
            </a:ext>
          </a:extLst>
        </xdr:cNvPr>
        <xdr:cNvSpPr/>
      </xdr:nvSpPr>
      <xdr:spPr>
        <a:xfrm rot="10800000">
          <a:off x="14250388" y="30970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57</xdr:row>
      <xdr:rowOff>196272</xdr:rowOff>
    </xdr:from>
    <xdr:to>
      <xdr:col>10</xdr:col>
      <xdr:colOff>2320636</xdr:colOff>
      <xdr:row>57</xdr:row>
      <xdr:rowOff>346363</xdr:rowOff>
    </xdr:to>
    <xdr:sp macro="" textlink="">
      <xdr:nvSpPr>
        <xdr:cNvPr id="654" name="Isosceles Triangle 653">
          <a:extLst>
            <a:ext uri="{FF2B5EF4-FFF2-40B4-BE49-F238E27FC236}">
              <a16:creationId xmlns:a16="http://schemas.microsoft.com/office/drawing/2014/main" id="{2F93EA5E-73C3-46E5-BFF2-0EF4272B51C0}"/>
            </a:ext>
          </a:extLst>
        </xdr:cNvPr>
        <xdr:cNvSpPr/>
      </xdr:nvSpPr>
      <xdr:spPr>
        <a:xfrm rot="10800000">
          <a:off x="14250388" y="31547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655" name="Isosceles Triangle 654">
          <a:extLst>
            <a:ext uri="{FF2B5EF4-FFF2-40B4-BE49-F238E27FC236}">
              <a16:creationId xmlns:a16="http://schemas.microsoft.com/office/drawing/2014/main" id="{1B89E9B3-2885-4622-994A-F2A6F438E232}"/>
            </a:ext>
          </a:extLst>
        </xdr:cNvPr>
        <xdr:cNvSpPr/>
      </xdr:nvSpPr>
      <xdr:spPr>
        <a:xfrm rot="10800000">
          <a:off x="14250388" y="321240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59</xdr:row>
      <xdr:rowOff>196272</xdr:rowOff>
    </xdr:from>
    <xdr:to>
      <xdr:col>10</xdr:col>
      <xdr:colOff>2320636</xdr:colOff>
      <xdr:row>59</xdr:row>
      <xdr:rowOff>346363</xdr:rowOff>
    </xdr:to>
    <xdr:sp macro="" textlink="">
      <xdr:nvSpPr>
        <xdr:cNvPr id="656" name="Isosceles Triangle 655">
          <a:extLst>
            <a:ext uri="{FF2B5EF4-FFF2-40B4-BE49-F238E27FC236}">
              <a16:creationId xmlns:a16="http://schemas.microsoft.com/office/drawing/2014/main" id="{6B10B64E-3614-42A4-A748-23DEC37FD7E8}"/>
            </a:ext>
          </a:extLst>
        </xdr:cNvPr>
        <xdr:cNvSpPr/>
      </xdr:nvSpPr>
      <xdr:spPr>
        <a:xfrm rot="10800000">
          <a:off x="14250388" y="32701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60</xdr:row>
      <xdr:rowOff>196272</xdr:rowOff>
    </xdr:from>
    <xdr:to>
      <xdr:col>10</xdr:col>
      <xdr:colOff>2320636</xdr:colOff>
      <xdr:row>60</xdr:row>
      <xdr:rowOff>346363</xdr:rowOff>
    </xdr:to>
    <xdr:sp macro="" textlink="">
      <xdr:nvSpPr>
        <xdr:cNvPr id="657" name="Isosceles Triangle 656">
          <a:extLst>
            <a:ext uri="{FF2B5EF4-FFF2-40B4-BE49-F238E27FC236}">
              <a16:creationId xmlns:a16="http://schemas.microsoft.com/office/drawing/2014/main" id="{5B9A208A-6FB0-4735-BFA5-A6C86C8C9A42}"/>
            </a:ext>
          </a:extLst>
        </xdr:cNvPr>
        <xdr:cNvSpPr/>
      </xdr:nvSpPr>
      <xdr:spPr>
        <a:xfrm rot="10800000">
          <a:off x="14250388" y="33277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56</xdr:row>
      <xdr:rowOff>196272</xdr:rowOff>
    </xdr:from>
    <xdr:to>
      <xdr:col>10</xdr:col>
      <xdr:colOff>2320636</xdr:colOff>
      <xdr:row>56</xdr:row>
      <xdr:rowOff>346363</xdr:rowOff>
    </xdr:to>
    <xdr:sp macro="" textlink="">
      <xdr:nvSpPr>
        <xdr:cNvPr id="658" name="Isosceles Triangle 657">
          <a:extLst>
            <a:ext uri="{FF2B5EF4-FFF2-40B4-BE49-F238E27FC236}">
              <a16:creationId xmlns:a16="http://schemas.microsoft.com/office/drawing/2014/main" id="{0B6D132E-E675-4A47-9A39-5477714BCA83}"/>
            </a:ext>
          </a:extLst>
        </xdr:cNvPr>
        <xdr:cNvSpPr/>
      </xdr:nvSpPr>
      <xdr:spPr>
        <a:xfrm rot="10800000">
          <a:off x="14250388" y="30970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57</xdr:row>
      <xdr:rowOff>196272</xdr:rowOff>
    </xdr:from>
    <xdr:to>
      <xdr:col>10</xdr:col>
      <xdr:colOff>2320636</xdr:colOff>
      <xdr:row>57</xdr:row>
      <xdr:rowOff>346363</xdr:rowOff>
    </xdr:to>
    <xdr:sp macro="" textlink="">
      <xdr:nvSpPr>
        <xdr:cNvPr id="659" name="Isosceles Triangle 658">
          <a:extLst>
            <a:ext uri="{FF2B5EF4-FFF2-40B4-BE49-F238E27FC236}">
              <a16:creationId xmlns:a16="http://schemas.microsoft.com/office/drawing/2014/main" id="{7233E921-7C5E-4A84-B8CB-DFCB8295E578}"/>
            </a:ext>
          </a:extLst>
        </xdr:cNvPr>
        <xdr:cNvSpPr/>
      </xdr:nvSpPr>
      <xdr:spPr>
        <a:xfrm rot="10800000">
          <a:off x="14250388" y="31547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660" name="Isosceles Triangle 659">
          <a:extLst>
            <a:ext uri="{FF2B5EF4-FFF2-40B4-BE49-F238E27FC236}">
              <a16:creationId xmlns:a16="http://schemas.microsoft.com/office/drawing/2014/main" id="{57C6D472-3714-4B56-A377-35BAC9EFC4F8}"/>
            </a:ext>
          </a:extLst>
        </xdr:cNvPr>
        <xdr:cNvSpPr/>
      </xdr:nvSpPr>
      <xdr:spPr>
        <a:xfrm rot="10800000">
          <a:off x="14250388" y="321240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59</xdr:row>
      <xdr:rowOff>196272</xdr:rowOff>
    </xdr:from>
    <xdr:to>
      <xdr:col>10</xdr:col>
      <xdr:colOff>2320636</xdr:colOff>
      <xdr:row>59</xdr:row>
      <xdr:rowOff>346363</xdr:rowOff>
    </xdr:to>
    <xdr:sp macro="" textlink="">
      <xdr:nvSpPr>
        <xdr:cNvPr id="661" name="Isosceles Triangle 660">
          <a:extLst>
            <a:ext uri="{FF2B5EF4-FFF2-40B4-BE49-F238E27FC236}">
              <a16:creationId xmlns:a16="http://schemas.microsoft.com/office/drawing/2014/main" id="{EC115D43-011B-4224-9CBF-44D7E6DD19A1}"/>
            </a:ext>
          </a:extLst>
        </xdr:cNvPr>
        <xdr:cNvSpPr/>
      </xdr:nvSpPr>
      <xdr:spPr>
        <a:xfrm rot="10800000">
          <a:off x="14250388" y="32701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60</xdr:row>
      <xdr:rowOff>196272</xdr:rowOff>
    </xdr:from>
    <xdr:to>
      <xdr:col>10</xdr:col>
      <xdr:colOff>2320636</xdr:colOff>
      <xdr:row>60</xdr:row>
      <xdr:rowOff>346363</xdr:rowOff>
    </xdr:to>
    <xdr:sp macro="" textlink="">
      <xdr:nvSpPr>
        <xdr:cNvPr id="662" name="Isosceles Triangle 661">
          <a:extLst>
            <a:ext uri="{FF2B5EF4-FFF2-40B4-BE49-F238E27FC236}">
              <a16:creationId xmlns:a16="http://schemas.microsoft.com/office/drawing/2014/main" id="{4E093819-D8E2-4149-BE01-B93DCE761D40}"/>
            </a:ext>
          </a:extLst>
        </xdr:cNvPr>
        <xdr:cNvSpPr/>
      </xdr:nvSpPr>
      <xdr:spPr>
        <a:xfrm rot="10800000">
          <a:off x="14250388" y="33277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57</xdr:row>
      <xdr:rowOff>196272</xdr:rowOff>
    </xdr:from>
    <xdr:to>
      <xdr:col>10</xdr:col>
      <xdr:colOff>2320636</xdr:colOff>
      <xdr:row>57</xdr:row>
      <xdr:rowOff>346363</xdr:rowOff>
    </xdr:to>
    <xdr:sp macro="" textlink="">
      <xdr:nvSpPr>
        <xdr:cNvPr id="663" name="Isosceles Triangle 662">
          <a:extLst>
            <a:ext uri="{FF2B5EF4-FFF2-40B4-BE49-F238E27FC236}">
              <a16:creationId xmlns:a16="http://schemas.microsoft.com/office/drawing/2014/main" id="{A4D0FD3D-B2F2-40F2-B12D-78360DB14927}"/>
            </a:ext>
          </a:extLst>
        </xdr:cNvPr>
        <xdr:cNvSpPr/>
      </xdr:nvSpPr>
      <xdr:spPr>
        <a:xfrm rot="10800000">
          <a:off x="14250388" y="31547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664" name="Isosceles Triangle 663">
          <a:extLst>
            <a:ext uri="{FF2B5EF4-FFF2-40B4-BE49-F238E27FC236}">
              <a16:creationId xmlns:a16="http://schemas.microsoft.com/office/drawing/2014/main" id="{748E8ED0-C3CA-4763-ADBA-60B49188ECE8}"/>
            </a:ext>
          </a:extLst>
        </xdr:cNvPr>
        <xdr:cNvSpPr/>
      </xdr:nvSpPr>
      <xdr:spPr>
        <a:xfrm rot="10800000">
          <a:off x="14250388" y="321240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59</xdr:row>
      <xdr:rowOff>196272</xdr:rowOff>
    </xdr:from>
    <xdr:to>
      <xdr:col>10</xdr:col>
      <xdr:colOff>2320636</xdr:colOff>
      <xdr:row>59</xdr:row>
      <xdr:rowOff>346363</xdr:rowOff>
    </xdr:to>
    <xdr:sp macro="" textlink="">
      <xdr:nvSpPr>
        <xdr:cNvPr id="665" name="Isosceles Triangle 664">
          <a:extLst>
            <a:ext uri="{FF2B5EF4-FFF2-40B4-BE49-F238E27FC236}">
              <a16:creationId xmlns:a16="http://schemas.microsoft.com/office/drawing/2014/main" id="{99D66E6E-F06D-4583-A000-B9FB653923AB}"/>
            </a:ext>
          </a:extLst>
        </xdr:cNvPr>
        <xdr:cNvSpPr/>
      </xdr:nvSpPr>
      <xdr:spPr>
        <a:xfrm rot="10800000">
          <a:off x="14250388" y="32701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60</xdr:row>
      <xdr:rowOff>196272</xdr:rowOff>
    </xdr:from>
    <xdr:to>
      <xdr:col>10</xdr:col>
      <xdr:colOff>2320636</xdr:colOff>
      <xdr:row>60</xdr:row>
      <xdr:rowOff>346363</xdr:rowOff>
    </xdr:to>
    <xdr:sp macro="" textlink="">
      <xdr:nvSpPr>
        <xdr:cNvPr id="666" name="Isosceles Triangle 665">
          <a:extLst>
            <a:ext uri="{FF2B5EF4-FFF2-40B4-BE49-F238E27FC236}">
              <a16:creationId xmlns:a16="http://schemas.microsoft.com/office/drawing/2014/main" id="{BBCFDB65-ADB3-4106-9A9A-9536E35D7310}"/>
            </a:ext>
          </a:extLst>
        </xdr:cNvPr>
        <xdr:cNvSpPr/>
      </xdr:nvSpPr>
      <xdr:spPr>
        <a:xfrm rot="10800000">
          <a:off x="14250388" y="33277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56</xdr:row>
      <xdr:rowOff>196272</xdr:rowOff>
    </xdr:from>
    <xdr:to>
      <xdr:col>10</xdr:col>
      <xdr:colOff>2320636</xdr:colOff>
      <xdr:row>56</xdr:row>
      <xdr:rowOff>346363</xdr:rowOff>
    </xdr:to>
    <xdr:sp macro="" textlink="">
      <xdr:nvSpPr>
        <xdr:cNvPr id="667" name="Isosceles Triangle 666">
          <a:extLst>
            <a:ext uri="{FF2B5EF4-FFF2-40B4-BE49-F238E27FC236}">
              <a16:creationId xmlns:a16="http://schemas.microsoft.com/office/drawing/2014/main" id="{F833EFC4-65A4-4105-9EAD-1BDD70E67C92}"/>
            </a:ext>
          </a:extLst>
        </xdr:cNvPr>
        <xdr:cNvSpPr/>
      </xdr:nvSpPr>
      <xdr:spPr>
        <a:xfrm rot="10800000">
          <a:off x="14250388" y="30970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57</xdr:row>
      <xdr:rowOff>196272</xdr:rowOff>
    </xdr:from>
    <xdr:to>
      <xdr:col>10</xdr:col>
      <xdr:colOff>2320636</xdr:colOff>
      <xdr:row>57</xdr:row>
      <xdr:rowOff>346363</xdr:rowOff>
    </xdr:to>
    <xdr:sp macro="" textlink="">
      <xdr:nvSpPr>
        <xdr:cNvPr id="668" name="Isosceles Triangle 667">
          <a:extLst>
            <a:ext uri="{FF2B5EF4-FFF2-40B4-BE49-F238E27FC236}">
              <a16:creationId xmlns:a16="http://schemas.microsoft.com/office/drawing/2014/main" id="{8ADFA305-AD6F-40A0-AABE-DAABD4746A53}"/>
            </a:ext>
          </a:extLst>
        </xdr:cNvPr>
        <xdr:cNvSpPr/>
      </xdr:nvSpPr>
      <xdr:spPr>
        <a:xfrm rot="10800000">
          <a:off x="14250388" y="31547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669" name="Isosceles Triangle 668">
          <a:extLst>
            <a:ext uri="{FF2B5EF4-FFF2-40B4-BE49-F238E27FC236}">
              <a16:creationId xmlns:a16="http://schemas.microsoft.com/office/drawing/2014/main" id="{C6FD4CD2-AE4B-4E6A-9CE2-4C678979DCB7}"/>
            </a:ext>
          </a:extLst>
        </xdr:cNvPr>
        <xdr:cNvSpPr/>
      </xdr:nvSpPr>
      <xdr:spPr>
        <a:xfrm rot="10800000">
          <a:off x="14250388" y="321240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59</xdr:row>
      <xdr:rowOff>196272</xdr:rowOff>
    </xdr:from>
    <xdr:to>
      <xdr:col>10</xdr:col>
      <xdr:colOff>2320636</xdr:colOff>
      <xdr:row>59</xdr:row>
      <xdr:rowOff>346363</xdr:rowOff>
    </xdr:to>
    <xdr:sp macro="" textlink="">
      <xdr:nvSpPr>
        <xdr:cNvPr id="670" name="Isosceles Triangle 669">
          <a:extLst>
            <a:ext uri="{FF2B5EF4-FFF2-40B4-BE49-F238E27FC236}">
              <a16:creationId xmlns:a16="http://schemas.microsoft.com/office/drawing/2014/main" id="{5C749B5D-3664-4537-8E2A-9F17080320F2}"/>
            </a:ext>
          </a:extLst>
        </xdr:cNvPr>
        <xdr:cNvSpPr/>
      </xdr:nvSpPr>
      <xdr:spPr>
        <a:xfrm rot="10800000">
          <a:off x="14250388" y="32701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60</xdr:row>
      <xdr:rowOff>196272</xdr:rowOff>
    </xdr:from>
    <xdr:to>
      <xdr:col>10</xdr:col>
      <xdr:colOff>2320636</xdr:colOff>
      <xdr:row>60</xdr:row>
      <xdr:rowOff>346363</xdr:rowOff>
    </xdr:to>
    <xdr:sp macro="" textlink="">
      <xdr:nvSpPr>
        <xdr:cNvPr id="671" name="Isosceles Triangle 670">
          <a:extLst>
            <a:ext uri="{FF2B5EF4-FFF2-40B4-BE49-F238E27FC236}">
              <a16:creationId xmlns:a16="http://schemas.microsoft.com/office/drawing/2014/main" id="{C4AD3D2D-655E-4BBB-9B71-3AED9AA4DCC5}"/>
            </a:ext>
          </a:extLst>
        </xdr:cNvPr>
        <xdr:cNvSpPr/>
      </xdr:nvSpPr>
      <xdr:spPr>
        <a:xfrm rot="10800000">
          <a:off x="14250388" y="33277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57</xdr:row>
      <xdr:rowOff>196272</xdr:rowOff>
    </xdr:from>
    <xdr:to>
      <xdr:col>10</xdr:col>
      <xdr:colOff>2320636</xdr:colOff>
      <xdr:row>57</xdr:row>
      <xdr:rowOff>346363</xdr:rowOff>
    </xdr:to>
    <xdr:sp macro="" textlink="">
      <xdr:nvSpPr>
        <xdr:cNvPr id="672" name="Isosceles Triangle 671">
          <a:extLst>
            <a:ext uri="{FF2B5EF4-FFF2-40B4-BE49-F238E27FC236}">
              <a16:creationId xmlns:a16="http://schemas.microsoft.com/office/drawing/2014/main" id="{42407CC5-0B8F-458E-8804-F357EDC5B875}"/>
            </a:ext>
          </a:extLst>
        </xdr:cNvPr>
        <xdr:cNvSpPr/>
      </xdr:nvSpPr>
      <xdr:spPr>
        <a:xfrm rot="10800000">
          <a:off x="14250388" y="31547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58</xdr:row>
      <xdr:rowOff>196272</xdr:rowOff>
    </xdr:from>
    <xdr:to>
      <xdr:col>10</xdr:col>
      <xdr:colOff>2320636</xdr:colOff>
      <xdr:row>58</xdr:row>
      <xdr:rowOff>346363</xdr:rowOff>
    </xdr:to>
    <xdr:sp macro="" textlink="">
      <xdr:nvSpPr>
        <xdr:cNvPr id="673" name="Isosceles Triangle 672">
          <a:extLst>
            <a:ext uri="{FF2B5EF4-FFF2-40B4-BE49-F238E27FC236}">
              <a16:creationId xmlns:a16="http://schemas.microsoft.com/office/drawing/2014/main" id="{D0D6AF22-9BCB-43A6-ADC3-E6FF7F98E93A}"/>
            </a:ext>
          </a:extLst>
        </xdr:cNvPr>
        <xdr:cNvSpPr/>
      </xdr:nvSpPr>
      <xdr:spPr>
        <a:xfrm rot="10800000">
          <a:off x="14250388" y="321240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59</xdr:row>
      <xdr:rowOff>196272</xdr:rowOff>
    </xdr:from>
    <xdr:to>
      <xdr:col>10</xdr:col>
      <xdr:colOff>2320636</xdr:colOff>
      <xdr:row>59</xdr:row>
      <xdr:rowOff>346363</xdr:rowOff>
    </xdr:to>
    <xdr:sp macro="" textlink="">
      <xdr:nvSpPr>
        <xdr:cNvPr id="674" name="Isosceles Triangle 673">
          <a:extLst>
            <a:ext uri="{FF2B5EF4-FFF2-40B4-BE49-F238E27FC236}">
              <a16:creationId xmlns:a16="http://schemas.microsoft.com/office/drawing/2014/main" id="{AC5B5B7C-B7BC-4169-9CD9-F1151FB47B9D}"/>
            </a:ext>
          </a:extLst>
        </xdr:cNvPr>
        <xdr:cNvSpPr/>
      </xdr:nvSpPr>
      <xdr:spPr>
        <a:xfrm rot="10800000">
          <a:off x="14250388" y="327010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60</xdr:row>
      <xdr:rowOff>196272</xdr:rowOff>
    </xdr:from>
    <xdr:to>
      <xdr:col>10</xdr:col>
      <xdr:colOff>2320636</xdr:colOff>
      <xdr:row>60</xdr:row>
      <xdr:rowOff>346363</xdr:rowOff>
    </xdr:to>
    <xdr:sp macro="" textlink="">
      <xdr:nvSpPr>
        <xdr:cNvPr id="675" name="Isosceles Triangle 674">
          <a:extLst>
            <a:ext uri="{FF2B5EF4-FFF2-40B4-BE49-F238E27FC236}">
              <a16:creationId xmlns:a16="http://schemas.microsoft.com/office/drawing/2014/main" id="{62F6635A-4073-4235-BAA5-2A8F2278FED7}"/>
            </a:ext>
          </a:extLst>
        </xdr:cNvPr>
        <xdr:cNvSpPr/>
      </xdr:nvSpPr>
      <xdr:spPr>
        <a:xfrm rot="10800000">
          <a:off x="14250388" y="33277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676" name="Isosceles Triangle 675">
          <a:extLst>
            <a:ext uri="{FF2B5EF4-FFF2-40B4-BE49-F238E27FC236}">
              <a16:creationId xmlns:a16="http://schemas.microsoft.com/office/drawing/2014/main" id="{FD050B2C-E479-405C-887B-18E891ACB678}"/>
            </a:ext>
          </a:extLst>
        </xdr:cNvPr>
        <xdr:cNvSpPr/>
      </xdr:nvSpPr>
      <xdr:spPr>
        <a:xfrm rot="10800000">
          <a:off x="14250388" y="344318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677" name="Isosceles Triangle 676">
          <a:extLst>
            <a:ext uri="{FF2B5EF4-FFF2-40B4-BE49-F238E27FC236}">
              <a16:creationId xmlns:a16="http://schemas.microsoft.com/office/drawing/2014/main" id="{16741E5E-29B3-4A74-9098-BF001255D770}"/>
            </a:ext>
          </a:extLst>
        </xdr:cNvPr>
        <xdr:cNvSpPr/>
      </xdr:nvSpPr>
      <xdr:spPr>
        <a:xfrm rot="10800000">
          <a:off x="14250388" y="35008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678" name="Isosceles Triangle 677">
          <a:extLst>
            <a:ext uri="{FF2B5EF4-FFF2-40B4-BE49-F238E27FC236}">
              <a16:creationId xmlns:a16="http://schemas.microsoft.com/office/drawing/2014/main" id="{ABD0A15E-34B4-48E1-BFFE-987372D2025A}"/>
            </a:ext>
          </a:extLst>
        </xdr:cNvPr>
        <xdr:cNvSpPr/>
      </xdr:nvSpPr>
      <xdr:spPr>
        <a:xfrm rot="10800000">
          <a:off x="14250388" y="35585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679" name="Isosceles Triangle 678">
          <a:extLst>
            <a:ext uri="{FF2B5EF4-FFF2-40B4-BE49-F238E27FC236}">
              <a16:creationId xmlns:a16="http://schemas.microsoft.com/office/drawing/2014/main" id="{556AE42E-3CAD-4060-80AA-BDE0ACE4B884}"/>
            </a:ext>
          </a:extLst>
        </xdr:cNvPr>
        <xdr:cNvSpPr/>
      </xdr:nvSpPr>
      <xdr:spPr>
        <a:xfrm rot="10800000">
          <a:off x="14250388" y="36162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66</xdr:row>
      <xdr:rowOff>196272</xdr:rowOff>
    </xdr:from>
    <xdr:to>
      <xdr:col>10</xdr:col>
      <xdr:colOff>2320636</xdr:colOff>
      <xdr:row>66</xdr:row>
      <xdr:rowOff>346363</xdr:rowOff>
    </xdr:to>
    <xdr:sp macro="" textlink="">
      <xdr:nvSpPr>
        <xdr:cNvPr id="680" name="Isosceles Triangle 679">
          <a:extLst>
            <a:ext uri="{FF2B5EF4-FFF2-40B4-BE49-F238E27FC236}">
              <a16:creationId xmlns:a16="http://schemas.microsoft.com/office/drawing/2014/main" id="{65EF3313-25D7-4F73-8952-379DB3D6F750}"/>
            </a:ext>
          </a:extLst>
        </xdr:cNvPr>
        <xdr:cNvSpPr/>
      </xdr:nvSpPr>
      <xdr:spPr>
        <a:xfrm rot="10800000">
          <a:off x="14250388" y="36739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681" name="Isosceles Triangle 680">
          <a:extLst>
            <a:ext uri="{FF2B5EF4-FFF2-40B4-BE49-F238E27FC236}">
              <a16:creationId xmlns:a16="http://schemas.microsoft.com/office/drawing/2014/main" id="{1A176824-FF2F-459A-9232-92052C5001E4}"/>
            </a:ext>
          </a:extLst>
        </xdr:cNvPr>
        <xdr:cNvSpPr/>
      </xdr:nvSpPr>
      <xdr:spPr>
        <a:xfrm rot="10800000">
          <a:off x="14250388" y="344318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682" name="Isosceles Triangle 681">
          <a:extLst>
            <a:ext uri="{FF2B5EF4-FFF2-40B4-BE49-F238E27FC236}">
              <a16:creationId xmlns:a16="http://schemas.microsoft.com/office/drawing/2014/main" id="{9C229250-5FE9-4A72-BA43-B9CC791D75F1}"/>
            </a:ext>
          </a:extLst>
        </xdr:cNvPr>
        <xdr:cNvSpPr/>
      </xdr:nvSpPr>
      <xdr:spPr>
        <a:xfrm rot="10800000">
          <a:off x="14250388" y="35008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683" name="Isosceles Triangle 682">
          <a:extLst>
            <a:ext uri="{FF2B5EF4-FFF2-40B4-BE49-F238E27FC236}">
              <a16:creationId xmlns:a16="http://schemas.microsoft.com/office/drawing/2014/main" id="{7155CD9E-67FD-44C6-B7AE-50AA6AFFA74D}"/>
            </a:ext>
          </a:extLst>
        </xdr:cNvPr>
        <xdr:cNvSpPr/>
      </xdr:nvSpPr>
      <xdr:spPr>
        <a:xfrm rot="10800000">
          <a:off x="14250388" y="35585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684" name="Isosceles Triangle 683">
          <a:extLst>
            <a:ext uri="{FF2B5EF4-FFF2-40B4-BE49-F238E27FC236}">
              <a16:creationId xmlns:a16="http://schemas.microsoft.com/office/drawing/2014/main" id="{E1C63853-F449-4A0C-8948-C0186F0A28D6}"/>
            </a:ext>
          </a:extLst>
        </xdr:cNvPr>
        <xdr:cNvSpPr/>
      </xdr:nvSpPr>
      <xdr:spPr>
        <a:xfrm rot="10800000">
          <a:off x="14250388" y="36162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66</xdr:row>
      <xdr:rowOff>196272</xdr:rowOff>
    </xdr:from>
    <xdr:to>
      <xdr:col>10</xdr:col>
      <xdr:colOff>2320636</xdr:colOff>
      <xdr:row>66</xdr:row>
      <xdr:rowOff>346363</xdr:rowOff>
    </xdr:to>
    <xdr:sp macro="" textlink="">
      <xdr:nvSpPr>
        <xdr:cNvPr id="685" name="Isosceles Triangle 684">
          <a:extLst>
            <a:ext uri="{FF2B5EF4-FFF2-40B4-BE49-F238E27FC236}">
              <a16:creationId xmlns:a16="http://schemas.microsoft.com/office/drawing/2014/main" id="{B21FEC7E-1C81-430C-A46B-81ADA38FC700}"/>
            </a:ext>
          </a:extLst>
        </xdr:cNvPr>
        <xdr:cNvSpPr/>
      </xdr:nvSpPr>
      <xdr:spPr>
        <a:xfrm rot="10800000">
          <a:off x="14250388" y="36739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686" name="Isosceles Triangle 685">
          <a:extLst>
            <a:ext uri="{FF2B5EF4-FFF2-40B4-BE49-F238E27FC236}">
              <a16:creationId xmlns:a16="http://schemas.microsoft.com/office/drawing/2014/main" id="{CF8BE938-B2BF-4818-BB9A-17D2A9A304FF}"/>
            </a:ext>
          </a:extLst>
        </xdr:cNvPr>
        <xdr:cNvSpPr/>
      </xdr:nvSpPr>
      <xdr:spPr>
        <a:xfrm rot="10800000">
          <a:off x="14250388" y="35008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687" name="Isosceles Triangle 686">
          <a:extLst>
            <a:ext uri="{FF2B5EF4-FFF2-40B4-BE49-F238E27FC236}">
              <a16:creationId xmlns:a16="http://schemas.microsoft.com/office/drawing/2014/main" id="{1EF3C709-E4F1-4DE8-B569-19A2378077F3}"/>
            </a:ext>
          </a:extLst>
        </xdr:cNvPr>
        <xdr:cNvSpPr/>
      </xdr:nvSpPr>
      <xdr:spPr>
        <a:xfrm rot="10800000">
          <a:off x="14250388" y="35585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688" name="Isosceles Triangle 687">
          <a:extLst>
            <a:ext uri="{FF2B5EF4-FFF2-40B4-BE49-F238E27FC236}">
              <a16:creationId xmlns:a16="http://schemas.microsoft.com/office/drawing/2014/main" id="{85B24C99-FDFB-4C53-A439-520C42B93F21}"/>
            </a:ext>
          </a:extLst>
        </xdr:cNvPr>
        <xdr:cNvSpPr/>
      </xdr:nvSpPr>
      <xdr:spPr>
        <a:xfrm rot="10800000">
          <a:off x="14250388" y="36162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66</xdr:row>
      <xdr:rowOff>196272</xdr:rowOff>
    </xdr:from>
    <xdr:to>
      <xdr:col>10</xdr:col>
      <xdr:colOff>2320636</xdr:colOff>
      <xdr:row>66</xdr:row>
      <xdr:rowOff>346363</xdr:rowOff>
    </xdr:to>
    <xdr:sp macro="" textlink="">
      <xdr:nvSpPr>
        <xdr:cNvPr id="689" name="Isosceles Triangle 688">
          <a:extLst>
            <a:ext uri="{FF2B5EF4-FFF2-40B4-BE49-F238E27FC236}">
              <a16:creationId xmlns:a16="http://schemas.microsoft.com/office/drawing/2014/main" id="{F4530ADC-4CE0-49E9-82C1-879A9966DC14}"/>
            </a:ext>
          </a:extLst>
        </xdr:cNvPr>
        <xdr:cNvSpPr/>
      </xdr:nvSpPr>
      <xdr:spPr>
        <a:xfrm rot="10800000">
          <a:off x="14250388" y="36739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62</xdr:row>
      <xdr:rowOff>196272</xdr:rowOff>
    </xdr:from>
    <xdr:to>
      <xdr:col>10</xdr:col>
      <xdr:colOff>2320636</xdr:colOff>
      <xdr:row>62</xdr:row>
      <xdr:rowOff>346363</xdr:rowOff>
    </xdr:to>
    <xdr:sp macro="" textlink="">
      <xdr:nvSpPr>
        <xdr:cNvPr id="690" name="Isosceles Triangle 689">
          <a:extLst>
            <a:ext uri="{FF2B5EF4-FFF2-40B4-BE49-F238E27FC236}">
              <a16:creationId xmlns:a16="http://schemas.microsoft.com/office/drawing/2014/main" id="{BEF332EE-B06F-4492-9991-8E6B57A4F86C}"/>
            </a:ext>
          </a:extLst>
        </xdr:cNvPr>
        <xdr:cNvSpPr/>
      </xdr:nvSpPr>
      <xdr:spPr>
        <a:xfrm rot="10800000">
          <a:off x="14250388" y="344318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691" name="Isosceles Triangle 690">
          <a:extLst>
            <a:ext uri="{FF2B5EF4-FFF2-40B4-BE49-F238E27FC236}">
              <a16:creationId xmlns:a16="http://schemas.microsoft.com/office/drawing/2014/main" id="{483C591A-A7BC-4248-8946-9A6751FD69C0}"/>
            </a:ext>
          </a:extLst>
        </xdr:cNvPr>
        <xdr:cNvSpPr/>
      </xdr:nvSpPr>
      <xdr:spPr>
        <a:xfrm rot="10800000">
          <a:off x="14250388" y="35008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692" name="Isosceles Triangle 691">
          <a:extLst>
            <a:ext uri="{FF2B5EF4-FFF2-40B4-BE49-F238E27FC236}">
              <a16:creationId xmlns:a16="http://schemas.microsoft.com/office/drawing/2014/main" id="{538A5F14-738E-4522-996C-205A154508B3}"/>
            </a:ext>
          </a:extLst>
        </xdr:cNvPr>
        <xdr:cNvSpPr/>
      </xdr:nvSpPr>
      <xdr:spPr>
        <a:xfrm rot="10800000">
          <a:off x="14250388" y="35585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693" name="Isosceles Triangle 692">
          <a:extLst>
            <a:ext uri="{FF2B5EF4-FFF2-40B4-BE49-F238E27FC236}">
              <a16:creationId xmlns:a16="http://schemas.microsoft.com/office/drawing/2014/main" id="{1A207306-4BD6-44D6-802D-8B844963098E}"/>
            </a:ext>
          </a:extLst>
        </xdr:cNvPr>
        <xdr:cNvSpPr/>
      </xdr:nvSpPr>
      <xdr:spPr>
        <a:xfrm rot="10800000">
          <a:off x="14250388" y="36162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66</xdr:row>
      <xdr:rowOff>196272</xdr:rowOff>
    </xdr:from>
    <xdr:to>
      <xdr:col>10</xdr:col>
      <xdr:colOff>2320636</xdr:colOff>
      <xdr:row>66</xdr:row>
      <xdr:rowOff>346363</xdr:rowOff>
    </xdr:to>
    <xdr:sp macro="" textlink="">
      <xdr:nvSpPr>
        <xdr:cNvPr id="694" name="Isosceles Triangle 693">
          <a:extLst>
            <a:ext uri="{FF2B5EF4-FFF2-40B4-BE49-F238E27FC236}">
              <a16:creationId xmlns:a16="http://schemas.microsoft.com/office/drawing/2014/main" id="{33472480-C427-4F9E-88F1-51DDED5AE164}"/>
            </a:ext>
          </a:extLst>
        </xdr:cNvPr>
        <xdr:cNvSpPr/>
      </xdr:nvSpPr>
      <xdr:spPr>
        <a:xfrm rot="10800000">
          <a:off x="14250388" y="36739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63</xdr:row>
      <xdr:rowOff>196272</xdr:rowOff>
    </xdr:from>
    <xdr:to>
      <xdr:col>10</xdr:col>
      <xdr:colOff>2320636</xdr:colOff>
      <xdr:row>63</xdr:row>
      <xdr:rowOff>346363</xdr:rowOff>
    </xdr:to>
    <xdr:sp macro="" textlink="">
      <xdr:nvSpPr>
        <xdr:cNvPr id="695" name="Isosceles Triangle 694">
          <a:extLst>
            <a:ext uri="{FF2B5EF4-FFF2-40B4-BE49-F238E27FC236}">
              <a16:creationId xmlns:a16="http://schemas.microsoft.com/office/drawing/2014/main" id="{6A26F51D-C440-45C1-A862-2792525B5D88}"/>
            </a:ext>
          </a:extLst>
        </xdr:cNvPr>
        <xdr:cNvSpPr/>
      </xdr:nvSpPr>
      <xdr:spPr>
        <a:xfrm rot="10800000">
          <a:off x="14250388" y="35008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64</xdr:row>
      <xdr:rowOff>196272</xdr:rowOff>
    </xdr:from>
    <xdr:to>
      <xdr:col>10</xdr:col>
      <xdr:colOff>2320636</xdr:colOff>
      <xdr:row>64</xdr:row>
      <xdr:rowOff>346363</xdr:rowOff>
    </xdr:to>
    <xdr:sp macro="" textlink="">
      <xdr:nvSpPr>
        <xdr:cNvPr id="696" name="Isosceles Triangle 695">
          <a:extLst>
            <a:ext uri="{FF2B5EF4-FFF2-40B4-BE49-F238E27FC236}">
              <a16:creationId xmlns:a16="http://schemas.microsoft.com/office/drawing/2014/main" id="{201E3036-79EC-48E1-BA35-1CF880499B76}"/>
            </a:ext>
          </a:extLst>
        </xdr:cNvPr>
        <xdr:cNvSpPr/>
      </xdr:nvSpPr>
      <xdr:spPr>
        <a:xfrm rot="10800000">
          <a:off x="14250388" y="35585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697" name="Isosceles Triangle 696">
          <a:extLst>
            <a:ext uri="{FF2B5EF4-FFF2-40B4-BE49-F238E27FC236}">
              <a16:creationId xmlns:a16="http://schemas.microsoft.com/office/drawing/2014/main" id="{43F9B6D8-F95E-4B15-B38F-4EA1777CCB74}"/>
            </a:ext>
          </a:extLst>
        </xdr:cNvPr>
        <xdr:cNvSpPr/>
      </xdr:nvSpPr>
      <xdr:spPr>
        <a:xfrm rot="10800000">
          <a:off x="14250388" y="36162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66</xdr:row>
      <xdr:rowOff>196272</xdr:rowOff>
    </xdr:from>
    <xdr:to>
      <xdr:col>10</xdr:col>
      <xdr:colOff>2320636</xdr:colOff>
      <xdr:row>66</xdr:row>
      <xdr:rowOff>346363</xdr:rowOff>
    </xdr:to>
    <xdr:sp macro="" textlink="">
      <xdr:nvSpPr>
        <xdr:cNvPr id="698" name="Isosceles Triangle 697">
          <a:extLst>
            <a:ext uri="{FF2B5EF4-FFF2-40B4-BE49-F238E27FC236}">
              <a16:creationId xmlns:a16="http://schemas.microsoft.com/office/drawing/2014/main" id="{AA4E9A4E-BFAF-45A4-887D-BA51362024A5}"/>
            </a:ext>
          </a:extLst>
        </xdr:cNvPr>
        <xdr:cNvSpPr/>
      </xdr:nvSpPr>
      <xdr:spPr>
        <a:xfrm rot="10800000">
          <a:off x="14250388" y="36739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699" name="Isosceles Triangle 698">
          <a:extLst>
            <a:ext uri="{FF2B5EF4-FFF2-40B4-BE49-F238E27FC236}">
              <a16:creationId xmlns:a16="http://schemas.microsoft.com/office/drawing/2014/main" id="{1CDB7B80-389A-4DFE-B443-2D6FA0B6F007}"/>
            </a:ext>
          </a:extLst>
        </xdr:cNvPr>
        <xdr:cNvSpPr/>
      </xdr:nvSpPr>
      <xdr:spPr>
        <a:xfrm rot="10800000">
          <a:off x="14250388" y="37893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700" name="Isosceles Triangle 699">
          <a:extLst>
            <a:ext uri="{FF2B5EF4-FFF2-40B4-BE49-F238E27FC236}">
              <a16:creationId xmlns:a16="http://schemas.microsoft.com/office/drawing/2014/main" id="{FE7E8107-B466-471A-BF1A-B632B969E50C}"/>
            </a:ext>
          </a:extLst>
        </xdr:cNvPr>
        <xdr:cNvSpPr/>
      </xdr:nvSpPr>
      <xdr:spPr>
        <a:xfrm rot="10800000">
          <a:off x="14250388" y="38470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70</xdr:row>
      <xdr:rowOff>196272</xdr:rowOff>
    </xdr:from>
    <xdr:to>
      <xdr:col>10</xdr:col>
      <xdr:colOff>2320636</xdr:colOff>
      <xdr:row>70</xdr:row>
      <xdr:rowOff>346363</xdr:rowOff>
    </xdr:to>
    <xdr:sp macro="" textlink="">
      <xdr:nvSpPr>
        <xdr:cNvPr id="701" name="Isosceles Triangle 700">
          <a:extLst>
            <a:ext uri="{FF2B5EF4-FFF2-40B4-BE49-F238E27FC236}">
              <a16:creationId xmlns:a16="http://schemas.microsoft.com/office/drawing/2014/main" id="{0CE836DE-D8D2-432F-832B-FB41F85C880D}"/>
            </a:ext>
          </a:extLst>
        </xdr:cNvPr>
        <xdr:cNvSpPr/>
      </xdr:nvSpPr>
      <xdr:spPr>
        <a:xfrm rot="10800000">
          <a:off x="14250388" y="39047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71</xdr:row>
      <xdr:rowOff>196272</xdr:rowOff>
    </xdr:from>
    <xdr:to>
      <xdr:col>10</xdr:col>
      <xdr:colOff>2320636</xdr:colOff>
      <xdr:row>71</xdr:row>
      <xdr:rowOff>346363</xdr:rowOff>
    </xdr:to>
    <xdr:sp macro="" textlink="">
      <xdr:nvSpPr>
        <xdr:cNvPr id="702" name="Isosceles Triangle 701">
          <a:extLst>
            <a:ext uri="{FF2B5EF4-FFF2-40B4-BE49-F238E27FC236}">
              <a16:creationId xmlns:a16="http://schemas.microsoft.com/office/drawing/2014/main" id="{1B120DF6-6CD1-4123-93F9-D15C91DF3FFD}"/>
            </a:ext>
          </a:extLst>
        </xdr:cNvPr>
        <xdr:cNvSpPr/>
      </xdr:nvSpPr>
      <xdr:spPr>
        <a:xfrm rot="10800000">
          <a:off x="14250388" y="39624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72</xdr:row>
      <xdr:rowOff>196272</xdr:rowOff>
    </xdr:from>
    <xdr:to>
      <xdr:col>10</xdr:col>
      <xdr:colOff>2320636</xdr:colOff>
      <xdr:row>72</xdr:row>
      <xdr:rowOff>346363</xdr:rowOff>
    </xdr:to>
    <xdr:sp macro="" textlink="">
      <xdr:nvSpPr>
        <xdr:cNvPr id="703" name="Isosceles Triangle 702">
          <a:extLst>
            <a:ext uri="{FF2B5EF4-FFF2-40B4-BE49-F238E27FC236}">
              <a16:creationId xmlns:a16="http://schemas.microsoft.com/office/drawing/2014/main" id="{56BDBF72-7667-43AF-B0AD-31FBC26E41CE}"/>
            </a:ext>
          </a:extLst>
        </xdr:cNvPr>
        <xdr:cNvSpPr/>
      </xdr:nvSpPr>
      <xdr:spPr>
        <a:xfrm rot="10800000">
          <a:off x="14250388" y="4020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704" name="Isosceles Triangle 703">
          <a:extLst>
            <a:ext uri="{FF2B5EF4-FFF2-40B4-BE49-F238E27FC236}">
              <a16:creationId xmlns:a16="http://schemas.microsoft.com/office/drawing/2014/main" id="{6F6CD245-BA1D-4653-8141-100E8DDA6A91}"/>
            </a:ext>
          </a:extLst>
        </xdr:cNvPr>
        <xdr:cNvSpPr/>
      </xdr:nvSpPr>
      <xdr:spPr>
        <a:xfrm rot="10800000">
          <a:off x="14250388" y="37893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705" name="Isosceles Triangle 704">
          <a:extLst>
            <a:ext uri="{FF2B5EF4-FFF2-40B4-BE49-F238E27FC236}">
              <a16:creationId xmlns:a16="http://schemas.microsoft.com/office/drawing/2014/main" id="{52C1A939-577C-4499-9F96-3E08F199AEBA}"/>
            </a:ext>
          </a:extLst>
        </xdr:cNvPr>
        <xdr:cNvSpPr/>
      </xdr:nvSpPr>
      <xdr:spPr>
        <a:xfrm rot="10800000">
          <a:off x="14250388" y="38470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70</xdr:row>
      <xdr:rowOff>196272</xdr:rowOff>
    </xdr:from>
    <xdr:to>
      <xdr:col>10</xdr:col>
      <xdr:colOff>2320636</xdr:colOff>
      <xdr:row>70</xdr:row>
      <xdr:rowOff>346363</xdr:rowOff>
    </xdr:to>
    <xdr:sp macro="" textlink="">
      <xdr:nvSpPr>
        <xdr:cNvPr id="706" name="Isosceles Triangle 705">
          <a:extLst>
            <a:ext uri="{FF2B5EF4-FFF2-40B4-BE49-F238E27FC236}">
              <a16:creationId xmlns:a16="http://schemas.microsoft.com/office/drawing/2014/main" id="{2E5C686B-3708-4A83-BF08-E50E908A6010}"/>
            </a:ext>
          </a:extLst>
        </xdr:cNvPr>
        <xdr:cNvSpPr/>
      </xdr:nvSpPr>
      <xdr:spPr>
        <a:xfrm rot="10800000">
          <a:off x="14250388" y="39047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71</xdr:row>
      <xdr:rowOff>196272</xdr:rowOff>
    </xdr:from>
    <xdr:to>
      <xdr:col>10</xdr:col>
      <xdr:colOff>2320636</xdr:colOff>
      <xdr:row>71</xdr:row>
      <xdr:rowOff>346363</xdr:rowOff>
    </xdr:to>
    <xdr:sp macro="" textlink="">
      <xdr:nvSpPr>
        <xdr:cNvPr id="707" name="Isosceles Triangle 706">
          <a:extLst>
            <a:ext uri="{FF2B5EF4-FFF2-40B4-BE49-F238E27FC236}">
              <a16:creationId xmlns:a16="http://schemas.microsoft.com/office/drawing/2014/main" id="{D0C94140-D161-4219-A116-E1026BE3681C}"/>
            </a:ext>
          </a:extLst>
        </xdr:cNvPr>
        <xdr:cNvSpPr/>
      </xdr:nvSpPr>
      <xdr:spPr>
        <a:xfrm rot="10800000">
          <a:off x="14250388" y="39624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72</xdr:row>
      <xdr:rowOff>196272</xdr:rowOff>
    </xdr:from>
    <xdr:to>
      <xdr:col>10</xdr:col>
      <xdr:colOff>2320636</xdr:colOff>
      <xdr:row>72</xdr:row>
      <xdr:rowOff>346363</xdr:rowOff>
    </xdr:to>
    <xdr:sp macro="" textlink="">
      <xdr:nvSpPr>
        <xdr:cNvPr id="708" name="Isosceles Triangle 707">
          <a:extLst>
            <a:ext uri="{FF2B5EF4-FFF2-40B4-BE49-F238E27FC236}">
              <a16:creationId xmlns:a16="http://schemas.microsoft.com/office/drawing/2014/main" id="{54936E2F-0AEC-4ED2-92AE-1265219DEE22}"/>
            </a:ext>
          </a:extLst>
        </xdr:cNvPr>
        <xdr:cNvSpPr/>
      </xdr:nvSpPr>
      <xdr:spPr>
        <a:xfrm rot="10800000">
          <a:off x="14250388" y="4020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709" name="Isosceles Triangle 708">
          <a:extLst>
            <a:ext uri="{FF2B5EF4-FFF2-40B4-BE49-F238E27FC236}">
              <a16:creationId xmlns:a16="http://schemas.microsoft.com/office/drawing/2014/main" id="{5DA249E1-073F-4A49-887D-6BBDE98A1444}"/>
            </a:ext>
          </a:extLst>
        </xdr:cNvPr>
        <xdr:cNvSpPr/>
      </xdr:nvSpPr>
      <xdr:spPr>
        <a:xfrm rot="10800000">
          <a:off x="14250388" y="38470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70</xdr:row>
      <xdr:rowOff>196272</xdr:rowOff>
    </xdr:from>
    <xdr:to>
      <xdr:col>10</xdr:col>
      <xdr:colOff>2320636</xdr:colOff>
      <xdr:row>70</xdr:row>
      <xdr:rowOff>346363</xdr:rowOff>
    </xdr:to>
    <xdr:sp macro="" textlink="">
      <xdr:nvSpPr>
        <xdr:cNvPr id="710" name="Isosceles Triangle 709">
          <a:extLst>
            <a:ext uri="{FF2B5EF4-FFF2-40B4-BE49-F238E27FC236}">
              <a16:creationId xmlns:a16="http://schemas.microsoft.com/office/drawing/2014/main" id="{EF903C58-F5B4-4CCE-8EDC-DE4F1089918A}"/>
            </a:ext>
          </a:extLst>
        </xdr:cNvPr>
        <xdr:cNvSpPr/>
      </xdr:nvSpPr>
      <xdr:spPr>
        <a:xfrm rot="10800000">
          <a:off x="14250388" y="39047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71</xdr:row>
      <xdr:rowOff>196272</xdr:rowOff>
    </xdr:from>
    <xdr:to>
      <xdr:col>10</xdr:col>
      <xdr:colOff>2320636</xdr:colOff>
      <xdr:row>71</xdr:row>
      <xdr:rowOff>346363</xdr:rowOff>
    </xdr:to>
    <xdr:sp macro="" textlink="">
      <xdr:nvSpPr>
        <xdr:cNvPr id="711" name="Isosceles Triangle 710">
          <a:extLst>
            <a:ext uri="{FF2B5EF4-FFF2-40B4-BE49-F238E27FC236}">
              <a16:creationId xmlns:a16="http://schemas.microsoft.com/office/drawing/2014/main" id="{27BD433E-076E-4DCC-9326-BA73A4159324}"/>
            </a:ext>
          </a:extLst>
        </xdr:cNvPr>
        <xdr:cNvSpPr/>
      </xdr:nvSpPr>
      <xdr:spPr>
        <a:xfrm rot="10800000">
          <a:off x="14250388" y="39624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72</xdr:row>
      <xdr:rowOff>196272</xdr:rowOff>
    </xdr:from>
    <xdr:to>
      <xdr:col>10</xdr:col>
      <xdr:colOff>2320636</xdr:colOff>
      <xdr:row>72</xdr:row>
      <xdr:rowOff>346363</xdr:rowOff>
    </xdr:to>
    <xdr:sp macro="" textlink="">
      <xdr:nvSpPr>
        <xdr:cNvPr id="712" name="Isosceles Triangle 711">
          <a:extLst>
            <a:ext uri="{FF2B5EF4-FFF2-40B4-BE49-F238E27FC236}">
              <a16:creationId xmlns:a16="http://schemas.microsoft.com/office/drawing/2014/main" id="{79B8769A-5798-4D8A-A242-CB6FCC553650}"/>
            </a:ext>
          </a:extLst>
        </xdr:cNvPr>
        <xdr:cNvSpPr/>
      </xdr:nvSpPr>
      <xdr:spPr>
        <a:xfrm rot="10800000">
          <a:off x="14250388" y="4020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68</xdr:row>
      <xdr:rowOff>196272</xdr:rowOff>
    </xdr:from>
    <xdr:to>
      <xdr:col>10</xdr:col>
      <xdr:colOff>2320636</xdr:colOff>
      <xdr:row>68</xdr:row>
      <xdr:rowOff>346363</xdr:rowOff>
    </xdr:to>
    <xdr:sp macro="" textlink="">
      <xdr:nvSpPr>
        <xdr:cNvPr id="713" name="Isosceles Triangle 712">
          <a:extLst>
            <a:ext uri="{FF2B5EF4-FFF2-40B4-BE49-F238E27FC236}">
              <a16:creationId xmlns:a16="http://schemas.microsoft.com/office/drawing/2014/main" id="{F5467EE1-AEE1-49FF-A4C8-9005FDA921D6}"/>
            </a:ext>
          </a:extLst>
        </xdr:cNvPr>
        <xdr:cNvSpPr/>
      </xdr:nvSpPr>
      <xdr:spPr>
        <a:xfrm rot="10800000">
          <a:off x="14250388" y="37893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714" name="Isosceles Triangle 713">
          <a:extLst>
            <a:ext uri="{FF2B5EF4-FFF2-40B4-BE49-F238E27FC236}">
              <a16:creationId xmlns:a16="http://schemas.microsoft.com/office/drawing/2014/main" id="{763092B3-D12A-4467-9B47-95C326982426}"/>
            </a:ext>
          </a:extLst>
        </xdr:cNvPr>
        <xdr:cNvSpPr/>
      </xdr:nvSpPr>
      <xdr:spPr>
        <a:xfrm rot="10800000">
          <a:off x="14250388" y="38470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70</xdr:row>
      <xdr:rowOff>196272</xdr:rowOff>
    </xdr:from>
    <xdr:to>
      <xdr:col>10</xdr:col>
      <xdr:colOff>2320636</xdr:colOff>
      <xdr:row>70</xdr:row>
      <xdr:rowOff>346363</xdr:rowOff>
    </xdr:to>
    <xdr:sp macro="" textlink="">
      <xdr:nvSpPr>
        <xdr:cNvPr id="715" name="Isosceles Triangle 714">
          <a:extLst>
            <a:ext uri="{FF2B5EF4-FFF2-40B4-BE49-F238E27FC236}">
              <a16:creationId xmlns:a16="http://schemas.microsoft.com/office/drawing/2014/main" id="{4FC1C1FD-FAE7-4B12-8D60-5DB0C57C4E7D}"/>
            </a:ext>
          </a:extLst>
        </xdr:cNvPr>
        <xdr:cNvSpPr/>
      </xdr:nvSpPr>
      <xdr:spPr>
        <a:xfrm rot="10800000">
          <a:off x="14250388" y="39047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71</xdr:row>
      <xdr:rowOff>196272</xdr:rowOff>
    </xdr:from>
    <xdr:to>
      <xdr:col>10</xdr:col>
      <xdr:colOff>2320636</xdr:colOff>
      <xdr:row>71</xdr:row>
      <xdr:rowOff>346363</xdr:rowOff>
    </xdr:to>
    <xdr:sp macro="" textlink="">
      <xdr:nvSpPr>
        <xdr:cNvPr id="716" name="Isosceles Triangle 715">
          <a:extLst>
            <a:ext uri="{FF2B5EF4-FFF2-40B4-BE49-F238E27FC236}">
              <a16:creationId xmlns:a16="http://schemas.microsoft.com/office/drawing/2014/main" id="{CFC80C7E-2BAF-4ECE-84D2-E4F411B95D49}"/>
            </a:ext>
          </a:extLst>
        </xdr:cNvPr>
        <xdr:cNvSpPr/>
      </xdr:nvSpPr>
      <xdr:spPr>
        <a:xfrm rot="10800000">
          <a:off x="14250388" y="39624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72</xdr:row>
      <xdr:rowOff>196272</xdr:rowOff>
    </xdr:from>
    <xdr:to>
      <xdr:col>10</xdr:col>
      <xdr:colOff>2320636</xdr:colOff>
      <xdr:row>72</xdr:row>
      <xdr:rowOff>346363</xdr:rowOff>
    </xdr:to>
    <xdr:sp macro="" textlink="">
      <xdr:nvSpPr>
        <xdr:cNvPr id="717" name="Isosceles Triangle 716">
          <a:extLst>
            <a:ext uri="{FF2B5EF4-FFF2-40B4-BE49-F238E27FC236}">
              <a16:creationId xmlns:a16="http://schemas.microsoft.com/office/drawing/2014/main" id="{BEC1D57A-E324-4D62-B308-299137878D81}"/>
            </a:ext>
          </a:extLst>
        </xdr:cNvPr>
        <xdr:cNvSpPr/>
      </xdr:nvSpPr>
      <xdr:spPr>
        <a:xfrm rot="10800000">
          <a:off x="14250388" y="4020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69</xdr:row>
      <xdr:rowOff>196272</xdr:rowOff>
    </xdr:from>
    <xdr:to>
      <xdr:col>10</xdr:col>
      <xdr:colOff>2320636</xdr:colOff>
      <xdr:row>69</xdr:row>
      <xdr:rowOff>346363</xdr:rowOff>
    </xdr:to>
    <xdr:sp macro="" textlink="">
      <xdr:nvSpPr>
        <xdr:cNvPr id="718" name="Isosceles Triangle 717">
          <a:extLst>
            <a:ext uri="{FF2B5EF4-FFF2-40B4-BE49-F238E27FC236}">
              <a16:creationId xmlns:a16="http://schemas.microsoft.com/office/drawing/2014/main" id="{9312DC0B-E2A7-4748-BBC4-92EB6C9E2229}"/>
            </a:ext>
          </a:extLst>
        </xdr:cNvPr>
        <xdr:cNvSpPr/>
      </xdr:nvSpPr>
      <xdr:spPr>
        <a:xfrm rot="10800000">
          <a:off x="14250388" y="38470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70</xdr:row>
      <xdr:rowOff>196272</xdr:rowOff>
    </xdr:from>
    <xdr:to>
      <xdr:col>10</xdr:col>
      <xdr:colOff>2320636</xdr:colOff>
      <xdr:row>70</xdr:row>
      <xdr:rowOff>346363</xdr:rowOff>
    </xdr:to>
    <xdr:sp macro="" textlink="">
      <xdr:nvSpPr>
        <xdr:cNvPr id="719" name="Isosceles Triangle 718">
          <a:extLst>
            <a:ext uri="{FF2B5EF4-FFF2-40B4-BE49-F238E27FC236}">
              <a16:creationId xmlns:a16="http://schemas.microsoft.com/office/drawing/2014/main" id="{498CB14E-9041-4407-A21E-82648E5AB229}"/>
            </a:ext>
          </a:extLst>
        </xdr:cNvPr>
        <xdr:cNvSpPr/>
      </xdr:nvSpPr>
      <xdr:spPr>
        <a:xfrm rot="10800000">
          <a:off x="14250388" y="390473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71</xdr:row>
      <xdr:rowOff>196272</xdr:rowOff>
    </xdr:from>
    <xdr:to>
      <xdr:col>10</xdr:col>
      <xdr:colOff>2320636</xdr:colOff>
      <xdr:row>71</xdr:row>
      <xdr:rowOff>346363</xdr:rowOff>
    </xdr:to>
    <xdr:sp macro="" textlink="">
      <xdr:nvSpPr>
        <xdr:cNvPr id="720" name="Isosceles Triangle 719">
          <a:extLst>
            <a:ext uri="{FF2B5EF4-FFF2-40B4-BE49-F238E27FC236}">
              <a16:creationId xmlns:a16="http://schemas.microsoft.com/office/drawing/2014/main" id="{3173F3D9-EE98-4C5A-AF84-E315D57DA6D0}"/>
            </a:ext>
          </a:extLst>
        </xdr:cNvPr>
        <xdr:cNvSpPr/>
      </xdr:nvSpPr>
      <xdr:spPr>
        <a:xfrm rot="10800000">
          <a:off x="14250388" y="39624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72</xdr:row>
      <xdr:rowOff>196272</xdr:rowOff>
    </xdr:from>
    <xdr:to>
      <xdr:col>10</xdr:col>
      <xdr:colOff>2320636</xdr:colOff>
      <xdr:row>72</xdr:row>
      <xdr:rowOff>346363</xdr:rowOff>
    </xdr:to>
    <xdr:sp macro="" textlink="">
      <xdr:nvSpPr>
        <xdr:cNvPr id="721" name="Isosceles Triangle 720">
          <a:extLst>
            <a:ext uri="{FF2B5EF4-FFF2-40B4-BE49-F238E27FC236}">
              <a16:creationId xmlns:a16="http://schemas.microsoft.com/office/drawing/2014/main" id="{58B066DE-19CC-4062-8124-789CB8880234}"/>
            </a:ext>
          </a:extLst>
        </xdr:cNvPr>
        <xdr:cNvSpPr/>
      </xdr:nvSpPr>
      <xdr:spPr>
        <a:xfrm rot="10800000">
          <a:off x="14250388" y="40201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722" name="Isosceles Triangle 721">
          <a:extLst>
            <a:ext uri="{FF2B5EF4-FFF2-40B4-BE49-F238E27FC236}">
              <a16:creationId xmlns:a16="http://schemas.microsoft.com/office/drawing/2014/main" id="{1EAF757F-7932-487E-8D6A-325128173772}"/>
            </a:ext>
          </a:extLst>
        </xdr:cNvPr>
        <xdr:cNvSpPr/>
      </xdr:nvSpPr>
      <xdr:spPr>
        <a:xfrm rot="10800000">
          <a:off x="10788731" y="13585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723" name="Isosceles Triangle 722">
          <a:extLst>
            <a:ext uri="{FF2B5EF4-FFF2-40B4-BE49-F238E27FC236}">
              <a16:creationId xmlns:a16="http://schemas.microsoft.com/office/drawing/2014/main" id="{5D9B597B-930F-46F5-A714-E20BD43A2E82}"/>
            </a:ext>
          </a:extLst>
        </xdr:cNvPr>
        <xdr:cNvSpPr/>
      </xdr:nvSpPr>
      <xdr:spPr>
        <a:xfrm rot="10800000">
          <a:off x="10788731" y="13585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724" name="Isosceles Triangle 723">
          <a:extLst>
            <a:ext uri="{FF2B5EF4-FFF2-40B4-BE49-F238E27FC236}">
              <a16:creationId xmlns:a16="http://schemas.microsoft.com/office/drawing/2014/main" id="{6C29F9FA-384C-4EEA-B9CA-7D5F2F8A25B0}"/>
            </a:ext>
          </a:extLst>
        </xdr:cNvPr>
        <xdr:cNvSpPr/>
      </xdr:nvSpPr>
      <xdr:spPr>
        <a:xfrm rot="10800000">
          <a:off x="10788731" y="13585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26</xdr:row>
      <xdr:rowOff>196272</xdr:rowOff>
    </xdr:from>
    <xdr:to>
      <xdr:col>8</xdr:col>
      <xdr:colOff>2320636</xdr:colOff>
      <xdr:row>26</xdr:row>
      <xdr:rowOff>346363</xdr:rowOff>
    </xdr:to>
    <xdr:sp macro="" textlink="">
      <xdr:nvSpPr>
        <xdr:cNvPr id="725" name="Isosceles Triangle 724">
          <a:extLst>
            <a:ext uri="{FF2B5EF4-FFF2-40B4-BE49-F238E27FC236}">
              <a16:creationId xmlns:a16="http://schemas.microsoft.com/office/drawing/2014/main" id="{E69CE7E0-17A7-4340-AA09-F3887D1C6AAF}"/>
            </a:ext>
          </a:extLst>
        </xdr:cNvPr>
        <xdr:cNvSpPr/>
      </xdr:nvSpPr>
      <xdr:spPr>
        <a:xfrm rot="10800000">
          <a:off x="10788731" y="135857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27</xdr:row>
      <xdr:rowOff>196272</xdr:rowOff>
    </xdr:from>
    <xdr:to>
      <xdr:col>8</xdr:col>
      <xdr:colOff>2320636</xdr:colOff>
      <xdr:row>27</xdr:row>
      <xdr:rowOff>346363</xdr:rowOff>
    </xdr:to>
    <xdr:sp macro="" textlink="">
      <xdr:nvSpPr>
        <xdr:cNvPr id="726" name="Isosceles Triangle 725">
          <a:extLst>
            <a:ext uri="{FF2B5EF4-FFF2-40B4-BE49-F238E27FC236}">
              <a16:creationId xmlns:a16="http://schemas.microsoft.com/office/drawing/2014/main" id="{12DBD24D-95E2-400A-8FDB-6630E1695582}"/>
            </a:ext>
          </a:extLst>
        </xdr:cNvPr>
        <xdr:cNvSpPr/>
      </xdr:nvSpPr>
      <xdr:spPr>
        <a:xfrm rot="10800000">
          <a:off x="10788731" y="14162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27</xdr:row>
      <xdr:rowOff>196272</xdr:rowOff>
    </xdr:from>
    <xdr:to>
      <xdr:col>8</xdr:col>
      <xdr:colOff>2320636</xdr:colOff>
      <xdr:row>27</xdr:row>
      <xdr:rowOff>346363</xdr:rowOff>
    </xdr:to>
    <xdr:sp macro="" textlink="">
      <xdr:nvSpPr>
        <xdr:cNvPr id="727" name="Isosceles Triangle 726">
          <a:extLst>
            <a:ext uri="{FF2B5EF4-FFF2-40B4-BE49-F238E27FC236}">
              <a16:creationId xmlns:a16="http://schemas.microsoft.com/office/drawing/2014/main" id="{7B8C37C5-130C-41A0-84B5-88FF2C265BA8}"/>
            </a:ext>
          </a:extLst>
        </xdr:cNvPr>
        <xdr:cNvSpPr/>
      </xdr:nvSpPr>
      <xdr:spPr>
        <a:xfrm rot="10800000">
          <a:off x="10788731" y="14162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27</xdr:row>
      <xdr:rowOff>196272</xdr:rowOff>
    </xdr:from>
    <xdr:to>
      <xdr:col>8</xdr:col>
      <xdr:colOff>2320636</xdr:colOff>
      <xdr:row>27</xdr:row>
      <xdr:rowOff>346363</xdr:rowOff>
    </xdr:to>
    <xdr:sp macro="" textlink="">
      <xdr:nvSpPr>
        <xdr:cNvPr id="728" name="Isosceles Triangle 727">
          <a:extLst>
            <a:ext uri="{FF2B5EF4-FFF2-40B4-BE49-F238E27FC236}">
              <a16:creationId xmlns:a16="http://schemas.microsoft.com/office/drawing/2014/main" id="{E287584D-C259-4EB2-8B94-CDE124346A58}"/>
            </a:ext>
          </a:extLst>
        </xdr:cNvPr>
        <xdr:cNvSpPr/>
      </xdr:nvSpPr>
      <xdr:spPr>
        <a:xfrm rot="10800000">
          <a:off x="10788731" y="14162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27</xdr:row>
      <xdr:rowOff>196272</xdr:rowOff>
    </xdr:from>
    <xdr:to>
      <xdr:col>8</xdr:col>
      <xdr:colOff>2320636</xdr:colOff>
      <xdr:row>27</xdr:row>
      <xdr:rowOff>346363</xdr:rowOff>
    </xdr:to>
    <xdr:sp macro="" textlink="">
      <xdr:nvSpPr>
        <xdr:cNvPr id="729" name="Isosceles Triangle 728">
          <a:extLst>
            <a:ext uri="{FF2B5EF4-FFF2-40B4-BE49-F238E27FC236}">
              <a16:creationId xmlns:a16="http://schemas.microsoft.com/office/drawing/2014/main" id="{1AC0E7D1-B91B-47DB-AD0B-67FC01FEB0FC}"/>
            </a:ext>
          </a:extLst>
        </xdr:cNvPr>
        <xdr:cNvSpPr/>
      </xdr:nvSpPr>
      <xdr:spPr>
        <a:xfrm rot="10800000">
          <a:off x="10788731" y="14162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27</xdr:row>
      <xdr:rowOff>196272</xdr:rowOff>
    </xdr:from>
    <xdr:to>
      <xdr:col>8</xdr:col>
      <xdr:colOff>2320636</xdr:colOff>
      <xdr:row>27</xdr:row>
      <xdr:rowOff>346363</xdr:rowOff>
    </xdr:to>
    <xdr:sp macro="" textlink="">
      <xdr:nvSpPr>
        <xdr:cNvPr id="730" name="Isosceles Triangle 729">
          <a:extLst>
            <a:ext uri="{FF2B5EF4-FFF2-40B4-BE49-F238E27FC236}">
              <a16:creationId xmlns:a16="http://schemas.microsoft.com/office/drawing/2014/main" id="{C4963C09-0F6C-4D29-990E-8DF21C606546}"/>
            </a:ext>
          </a:extLst>
        </xdr:cNvPr>
        <xdr:cNvSpPr/>
      </xdr:nvSpPr>
      <xdr:spPr>
        <a:xfrm rot="10800000">
          <a:off x="10788731" y="141626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731" name="Isosceles Triangle 730">
          <a:extLst>
            <a:ext uri="{FF2B5EF4-FFF2-40B4-BE49-F238E27FC236}">
              <a16:creationId xmlns:a16="http://schemas.microsoft.com/office/drawing/2014/main" id="{0F8800BE-7CB5-47EB-A7DE-AF382C382553}"/>
            </a:ext>
          </a:extLst>
        </xdr:cNvPr>
        <xdr:cNvSpPr/>
      </xdr:nvSpPr>
      <xdr:spPr>
        <a:xfrm rot="10800000">
          <a:off x="10788731" y="14739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732" name="Isosceles Triangle 731">
          <a:extLst>
            <a:ext uri="{FF2B5EF4-FFF2-40B4-BE49-F238E27FC236}">
              <a16:creationId xmlns:a16="http://schemas.microsoft.com/office/drawing/2014/main" id="{B574555C-CBE6-4911-9CC7-C3DD4F0E6EF8}"/>
            </a:ext>
          </a:extLst>
        </xdr:cNvPr>
        <xdr:cNvSpPr/>
      </xdr:nvSpPr>
      <xdr:spPr>
        <a:xfrm rot="10800000">
          <a:off x="10788731" y="14739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733" name="Isosceles Triangle 732">
          <a:extLst>
            <a:ext uri="{FF2B5EF4-FFF2-40B4-BE49-F238E27FC236}">
              <a16:creationId xmlns:a16="http://schemas.microsoft.com/office/drawing/2014/main" id="{0BF8037D-E90E-4E78-8B17-4B4E7141F179}"/>
            </a:ext>
          </a:extLst>
        </xdr:cNvPr>
        <xdr:cNvSpPr/>
      </xdr:nvSpPr>
      <xdr:spPr>
        <a:xfrm rot="10800000">
          <a:off x="10788731" y="14739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734" name="Isosceles Triangle 733">
          <a:extLst>
            <a:ext uri="{FF2B5EF4-FFF2-40B4-BE49-F238E27FC236}">
              <a16:creationId xmlns:a16="http://schemas.microsoft.com/office/drawing/2014/main" id="{A18F7727-9CB2-4ADA-B12D-9175FD77F788}"/>
            </a:ext>
          </a:extLst>
        </xdr:cNvPr>
        <xdr:cNvSpPr/>
      </xdr:nvSpPr>
      <xdr:spPr>
        <a:xfrm rot="10800000">
          <a:off x="10788731" y="14739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28</xdr:row>
      <xdr:rowOff>196272</xdr:rowOff>
    </xdr:from>
    <xdr:to>
      <xdr:col>8</xdr:col>
      <xdr:colOff>2320636</xdr:colOff>
      <xdr:row>28</xdr:row>
      <xdr:rowOff>346363</xdr:rowOff>
    </xdr:to>
    <xdr:sp macro="" textlink="">
      <xdr:nvSpPr>
        <xdr:cNvPr id="735" name="Isosceles Triangle 734">
          <a:extLst>
            <a:ext uri="{FF2B5EF4-FFF2-40B4-BE49-F238E27FC236}">
              <a16:creationId xmlns:a16="http://schemas.microsoft.com/office/drawing/2014/main" id="{DFE6E056-3759-4F12-85C4-EF6C5991E24F}"/>
            </a:ext>
          </a:extLst>
        </xdr:cNvPr>
        <xdr:cNvSpPr/>
      </xdr:nvSpPr>
      <xdr:spPr>
        <a:xfrm rot="10800000">
          <a:off x="10788731" y="147395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29</xdr:row>
      <xdr:rowOff>196272</xdr:rowOff>
    </xdr:from>
    <xdr:to>
      <xdr:col>8</xdr:col>
      <xdr:colOff>2320636</xdr:colOff>
      <xdr:row>29</xdr:row>
      <xdr:rowOff>346363</xdr:rowOff>
    </xdr:to>
    <xdr:sp macro="" textlink="">
      <xdr:nvSpPr>
        <xdr:cNvPr id="736" name="Isosceles Triangle 735">
          <a:extLst>
            <a:ext uri="{FF2B5EF4-FFF2-40B4-BE49-F238E27FC236}">
              <a16:creationId xmlns:a16="http://schemas.microsoft.com/office/drawing/2014/main" id="{CB45116A-B8BD-4ECE-8B11-795375BDE282}"/>
            </a:ext>
          </a:extLst>
        </xdr:cNvPr>
        <xdr:cNvSpPr/>
      </xdr:nvSpPr>
      <xdr:spPr>
        <a:xfrm rot="10800000">
          <a:off x="10788731" y="1531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29</xdr:row>
      <xdr:rowOff>196272</xdr:rowOff>
    </xdr:from>
    <xdr:to>
      <xdr:col>8</xdr:col>
      <xdr:colOff>2320636</xdr:colOff>
      <xdr:row>29</xdr:row>
      <xdr:rowOff>346363</xdr:rowOff>
    </xdr:to>
    <xdr:sp macro="" textlink="">
      <xdr:nvSpPr>
        <xdr:cNvPr id="737" name="Isosceles Triangle 736">
          <a:extLst>
            <a:ext uri="{FF2B5EF4-FFF2-40B4-BE49-F238E27FC236}">
              <a16:creationId xmlns:a16="http://schemas.microsoft.com/office/drawing/2014/main" id="{631FBD6D-C18D-4181-88EB-6345F0B17D0A}"/>
            </a:ext>
          </a:extLst>
        </xdr:cNvPr>
        <xdr:cNvSpPr/>
      </xdr:nvSpPr>
      <xdr:spPr>
        <a:xfrm rot="10800000">
          <a:off x="10788731" y="1531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29</xdr:row>
      <xdr:rowOff>196272</xdr:rowOff>
    </xdr:from>
    <xdr:to>
      <xdr:col>8</xdr:col>
      <xdr:colOff>2320636</xdr:colOff>
      <xdr:row>29</xdr:row>
      <xdr:rowOff>346363</xdr:rowOff>
    </xdr:to>
    <xdr:sp macro="" textlink="">
      <xdr:nvSpPr>
        <xdr:cNvPr id="738" name="Isosceles Triangle 737">
          <a:extLst>
            <a:ext uri="{FF2B5EF4-FFF2-40B4-BE49-F238E27FC236}">
              <a16:creationId xmlns:a16="http://schemas.microsoft.com/office/drawing/2014/main" id="{CA896F67-7D64-455B-AAF8-BC6E0E20D12C}"/>
            </a:ext>
          </a:extLst>
        </xdr:cNvPr>
        <xdr:cNvSpPr/>
      </xdr:nvSpPr>
      <xdr:spPr>
        <a:xfrm rot="10800000">
          <a:off x="10788731" y="1531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29</xdr:row>
      <xdr:rowOff>196272</xdr:rowOff>
    </xdr:from>
    <xdr:to>
      <xdr:col>8</xdr:col>
      <xdr:colOff>2320636</xdr:colOff>
      <xdr:row>29</xdr:row>
      <xdr:rowOff>346363</xdr:rowOff>
    </xdr:to>
    <xdr:sp macro="" textlink="">
      <xdr:nvSpPr>
        <xdr:cNvPr id="739" name="Isosceles Triangle 738">
          <a:extLst>
            <a:ext uri="{FF2B5EF4-FFF2-40B4-BE49-F238E27FC236}">
              <a16:creationId xmlns:a16="http://schemas.microsoft.com/office/drawing/2014/main" id="{09A27452-2C95-457F-B09C-1E45021BBC93}"/>
            </a:ext>
          </a:extLst>
        </xdr:cNvPr>
        <xdr:cNvSpPr/>
      </xdr:nvSpPr>
      <xdr:spPr>
        <a:xfrm rot="10800000">
          <a:off x="10788731" y="1531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29</xdr:row>
      <xdr:rowOff>196272</xdr:rowOff>
    </xdr:from>
    <xdr:to>
      <xdr:col>8</xdr:col>
      <xdr:colOff>2320636</xdr:colOff>
      <xdr:row>29</xdr:row>
      <xdr:rowOff>346363</xdr:rowOff>
    </xdr:to>
    <xdr:sp macro="" textlink="">
      <xdr:nvSpPr>
        <xdr:cNvPr id="740" name="Isosceles Triangle 739">
          <a:extLst>
            <a:ext uri="{FF2B5EF4-FFF2-40B4-BE49-F238E27FC236}">
              <a16:creationId xmlns:a16="http://schemas.microsoft.com/office/drawing/2014/main" id="{E10EC6B8-F78B-4BC6-B0D6-64E44419BD7C}"/>
            </a:ext>
          </a:extLst>
        </xdr:cNvPr>
        <xdr:cNvSpPr/>
      </xdr:nvSpPr>
      <xdr:spPr>
        <a:xfrm rot="10800000">
          <a:off x="10788731" y="1531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30</xdr:row>
      <xdr:rowOff>196272</xdr:rowOff>
    </xdr:from>
    <xdr:to>
      <xdr:col>8</xdr:col>
      <xdr:colOff>2320636</xdr:colOff>
      <xdr:row>30</xdr:row>
      <xdr:rowOff>346363</xdr:rowOff>
    </xdr:to>
    <xdr:sp macro="" textlink="">
      <xdr:nvSpPr>
        <xdr:cNvPr id="741" name="Isosceles Triangle 740">
          <a:extLst>
            <a:ext uri="{FF2B5EF4-FFF2-40B4-BE49-F238E27FC236}">
              <a16:creationId xmlns:a16="http://schemas.microsoft.com/office/drawing/2014/main" id="{C6F72A9E-2CC3-4BFF-90B2-3C79F3346EE7}"/>
            </a:ext>
          </a:extLst>
        </xdr:cNvPr>
        <xdr:cNvSpPr/>
      </xdr:nvSpPr>
      <xdr:spPr>
        <a:xfrm rot="10800000">
          <a:off x="10788731" y="15893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30</xdr:row>
      <xdr:rowOff>196272</xdr:rowOff>
    </xdr:from>
    <xdr:to>
      <xdr:col>8</xdr:col>
      <xdr:colOff>2320636</xdr:colOff>
      <xdr:row>30</xdr:row>
      <xdr:rowOff>346363</xdr:rowOff>
    </xdr:to>
    <xdr:sp macro="" textlink="">
      <xdr:nvSpPr>
        <xdr:cNvPr id="742" name="Isosceles Triangle 741">
          <a:extLst>
            <a:ext uri="{FF2B5EF4-FFF2-40B4-BE49-F238E27FC236}">
              <a16:creationId xmlns:a16="http://schemas.microsoft.com/office/drawing/2014/main" id="{532CB452-C56C-4FB1-ADA2-30C36EEBADDB}"/>
            </a:ext>
          </a:extLst>
        </xdr:cNvPr>
        <xdr:cNvSpPr/>
      </xdr:nvSpPr>
      <xdr:spPr>
        <a:xfrm rot="10800000">
          <a:off x="10788731" y="15893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30</xdr:row>
      <xdr:rowOff>196272</xdr:rowOff>
    </xdr:from>
    <xdr:to>
      <xdr:col>8</xdr:col>
      <xdr:colOff>2320636</xdr:colOff>
      <xdr:row>30</xdr:row>
      <xdr:rowOff>346363</xdr:rowOff>
    </xdr:to>
    <xdr:sp macro="" textlink="">
      <xdr:nvSpPr>
        <xdr:cNvPr id="743" name="Isosceles Triangle 742">
          <a:extLst>
            <a:ext uri="{FF2B5EF4-FFF2-40B4-BE49-F238E27FC236}">
              <a16:creationId xmlns:a16="http://schemas.microsoft.com/office/drawing/2014/main" id="{6C8DAD5D-688C-40AB-BDB3-CAAF3903D490}"/>
            </a:ext>
          </a:extLst>
        </xdr:cNvPr>
        <xdr:cNvSpPr/>
      </xdr:nvSpPr>
      <xdr:spPr>
        <a:xfrm rot="10800000">
          <a:off x="10788731" y="15893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30</xdr:row>
      <xdr:rowOff>196272</xdr:rowOff>
    </xdr:from>
    <xdr:to>
      <xdr:col>8</xdr:col>
      <xdr:colOff>2320636</xdr:colOff>
      <xdr:row>30</xdr:row>
      <xdr:rowOff>346363</xdr:rowOff>
    </xdr:to>
    <xdr:sp macro="" textlink="">
      <xdr:nvSpPr>
        <xdr:cNvPr id="744" name="Isosceles Triangle 743">
          <a:extLst>
            <a:ext uri="{FF2B5EF4-FFF2-40B4-BE49-F238E27FC236}">
              <a16:creationId xmlns:a16="http://schemas.microsoft.com/office/drawing/2014/main" id="{54E0548B-96CD-4175-9C3E-73A1D093DBC5}"/>
            </a:ext>
          </a:extLst>
        </xdr:cNvPr>
        <xdr:cNvSpPr/>
      </xdr:nvSpPr>
      <xdr:spPr>
        <a:xfrm rot="10800000">
          <a:off x="10788731" y="15893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30</xdr:row>
      <xdr:rowOff>196272</xdr:rowOff>
    </xdr:from>
    <xdr:to>
      <xdr:col>8</xdr:col>
      <xdr:colOff>2320636</xdr:colOff>
      <xdr:row>30</xdr:row>
      <xdr:rowOff>346363</xdr:rowOff>
    </xdr:to>
    <xdr:sp macro="" textlink="">
      <xdr:nvSpPr>
        <xdr:cNvPr id="745" name="Isosceles Triangle 744">
          <a:extLst>
            <a:ext uri="{FF2B5EF4-FFF2-40B4-BE49-F238E27FC236}">
              <a16:creationId xmlns:a16="http://schemas.microsoft.com/office/drawing/2014/main" id="{D219ACEC-5A4F-4C1F-9C04-9F8D152C8CF1}"/>
            </a:ext>
          </a:extLst>
        </xdr:cNvPr>
        <xdr:cNvSpPr/>
      </xdr:nvSpPr>
      <xdr:spPr>
        <a:xfrm rot="10800000">
          <a:off x="10788731" y="15893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746" name="Isosceles Triangle 745">
          <a:extLst>
            <a:ext uri="{FF2B5EF4-FFF2-40B4-BE49-F238E27FC236}">
              <a16:creationId xmlns:a16="http://schemas.microsoft.com/office/drawing/2014/main" id="{BD98F937-7A40-4D1F-8CCE-30A68D91BC49}"/>
            </a:ext>
          </a:extLst>
        </xdr:cNvPr>
        <xdr:cNvSpPr/>
      </xdr:nvSpPr>
      <xdr:spPr>
        <a:xfrm rot="10800000">
          <a:off x="14250388" y="55201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747" name="Isosceles Triangle 746">
          <a:extLst>
            <a:ext uri="{FF2B5EF4-FFF2-40B4-BE49-F238E27FC236}">
              <a16:creationId xmlns:a16="http://schemas.microsoft.com/office/drawing/2014/main" id="{056BE747-75F4-4328-AD74-792B53D29ECD}"/>
            </a:ext>
          </a:extLst>
        </xdr:cNvPr>
        <xdr:cNvSpPr/>
      </xdr:nvSpPr>
      <xdr:spPr>
        <a:xfrm rot="10800000">
          <a:off x="14250388" y="55201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748" name="Isosceles Triangle 747">
          <a:extLst>
            <a:ext uri="{FF2B5EF4-FFF2-40B4-BE49-F238E27FC236}">
              <a16:creationId xmlns:a16="http://schemas.microsoft.com/office/drawing/2014/main" id="{59A33ABB-64A1-496B-8C1C-948A5B31B038}"/>
            </a:ext>
          </a:extLst>
        </xdr:cNvPr>
        <xdr:cNvSpPr/>
      </xdr:nvSpPr>
      <xdr:spPr>
        <a:xfrm rot="10800000">
          <a:off x="14250388" y="55201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749" name="Isosceles Triangle 748">
          <a:extLst>
            <a:ext uri="{FF2B5EF4-FFF2-40B4-BE49-F238E27FC236}">
              <a16:creationId xmlns:a16="http://schemas.microsoft.com/office/drawing/2014/main" id="{FE6B1AE5-E336-45C2-8994-007F092C3707}"/>
            </a:ext>
          </a:extLst>
        </xdr:cNvPr>
        <xdr:cNvSpPr/>
      </xdr:nvSpPr>
      <xdr:spPr>
        <a:xfrm rot="10800000">
          <a:off x="14250388" y="55201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98</xdr:row>
      <xdr:rowOff>196272</xdr:rowOff>
    </xdr:from>
    <xdr:to>
      <xdr:col>10</xdr:col>
      <xdr:colOff>2320636</xdr:colOff>
      <xdr:row>98</xdr:row>
      <xdr:rowOff>346363</xdr:rowOff>
    </xdr:to>
    <xdr:sp macro="" textlink="">
      <xdr:nvSpPr>
        <xdr:cNvPr id="750" name="Isosceles Triangle 749">
          <a:extLst>
            <a:ext uri="{FF2B5EF4-FFF2-40B4-BE49-F238E27FC236}">
              <a16:creationId xmlns:a16="http://schemas.microsoft.com/office/drawing/2014/main" id="{BDB6259E-46CD-4F71-B190-7FB24047B7E9}"/>
            </a:ext>
          </a:extLst>
        </xdr:cNvPr>
        <xdr:cNvSpPr/>
      </xdr:nvSpPr>
      <xdr:spPr>
        <a:xfrm rot="10800000">
          <a:off x="14250388" y="552017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99</xdr:row>
      <xdr:rowOff>196272</xdr:rowOff>
    </xdr:from>
    <xdr:to>
      <xdr:col>10</xdr:col>
      <xdr:colOff>2320636</xdr:colOff>
      <xdr:row>99</xdr:row>
      <xdr:rowOff>346363</xdr:rowOff>
    </xdr:to>
    <xdr:sp macro="" textlink="">
      <xdr:nvSpPr>
        <xdr:cNvPr id="751" name="Isosceles Triangle 750">
          <a:extLst>
            <a:ext uri="{FF2B5EF4-FFF2-40B4-BE49-F238E27FC236}">
              <a16:creationId xmlns:a16="http://schemas.microsoft.com/office/drawing/2014/main" id="{94EE28FF-2133-472A-ABC2-1AC30DE21CFD}"/>
            </a:ext>
          </a:extLst>
        </xdr:cNvPr>
        <xdr:cNvSpPr/>
      </xdr:nvSpPr>
      <xdr:spPr>
        <a:xfrm rot="10800000">
          <a:off x="14250388" y="55778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99</xdr:row>
      <xdr:rowOff>196272</xdr:rowOff>
    </xdr:from>
    <xdr:to>
      <xdr:col>10</xdr:col>
      <xdr:colOff>2320636</xdr:colOff>
      <xdr:row>99</xdr:row>
      <xdr:rowOff>346363</xdr:rowOff>
    </xdr:to>
    <xdr:sp macro="" textlink="">
      <xdr:nvSpPr>
        <xdr:cNvPr id="752" name="Isosceles Triangle 751">
          <a:extLst>
            <a:ext uri="{FF2B5EF4-FFF2-40B4-BE49-F238E27FC236}">
              <a16:creationId xmlns:a16="http://schemas.microsoft.com/office/drawing/2014/main" id="{9407B2FD-6923-427C-BA85-9699462BA7C8}"/>
            </a:ext>
          </a:extLst>
        </xdr:cNvPr>
        <xdr:cNvSpPr/>
      </xdr:nvSpPr>
      <xdr:spPr>
        <a:xfrm rot="10800000">
          <a:off x="14250388" y="55778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99</xdr:row>
      <xdr:rowOff>196272</xdr:rowOff>
    </xdr:from>
    <xdr:to>
      <xdr:col>10</xdr:col>
      <xdr:colOff>2320636</xdr:colOff>
      <xdr:row>99</xdr:row>
      <xdr:rowOff>346363</xdr:rowOff>
    </xdr:to>
    <xdr:sp macro="" textlink="">
      <xdr:nvSpPr>
        <xdr:cNvPr id="753" name="Isosceles Triangle 752">
          <a:extLst>
            <a:ext uri="{FF2B5EF4-FFF2-40B4-BE49-F238E27FC236}">
              <a16:creationId xmlns:a16="http://schemas.microsoft.com/office/drawing/2014/main" id="{2534CF33-71F4-4938-9DF6-B53B2881FE8D}"/>
            </a:ext>
          </a:extLst>
        </xdr:cNvPr>
        <xdr:cNvSpPr/>
      </xdr:nvSpPr>
      <xdr:spPr>
        <a:xfrm rot="10800000">
          <a:off x="14250388" y="55778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99</xdr:row>
      <xdr:rowOff>196272</xdr:rowOff>
    </xdr:from>
    <xdr:to>
      <xdr:col>10</xdr:col>
      <xdr:colOff>2320636</xdr:colOff>
      <xdr:row>99</xdr:row>
      <xdr:rowOff>346363</xdr:rowOff>
    </xdr:to>
    <xdr:sp macro="" textlink="">
      <xdr:nvSpPr>
        <xdr:cNvPr id="754" name="Isosceles Triangle 753">
          <a:extLst>
            <a:ext uri="{FF2B5EF4-FFF2-40B4-BE49-F238E27FC236}">
              <a16:creationId xmlns:a16="http://schemas.microsoft.com/office/drawing/2014/main" id="{F535C0B7-0BA3-47D4-A1DF-2435E56DD5AC}"/>
            </a:ext>
          </a:extLst>
        </xdr:cNvPr>
        <xdr:cNvSpPr/>
      </xdr:nvSpPr>
      <xdr:spPr>
        <a:xfrm rot="10800000">
          <a:off x="14250388" y="55778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99</xdr:row>
      <xdr:rowOff>196272</xdr:rowOff>
    </xdr:from>
    <xdr:to>
      <xdr:col>10</xdr:col>
      <xdr:colOff>2320636</xdr:colOff>
      <xdr:row>99</xdr:row>
      <xdr:rowOff>346363</xdr:rowOff>
    </xdr:to>
    <xdr:sp macro="" textlink="">
      <xdr:nvSpPr>
        <xdr:cNvPr id="755" name="Isosceles Triangle 754">
          <a:extLst>
            <a:ext uri="{FF2B5EF4-FFF2-40B4-BE49-F238E27FC236}">
              <a16:creationId xmlns:a16="http://schemas.microsoft.com/office/drawing/2014/main" id="{8490CE6A-79FD-4FF3-B381-727F3ACFE062}"/>
            </a:ext>
          </a:extLst>
        </xdr:cNvPr>
        <xdr:cNvSpPr/>
      </xdr:nvSpPr>
      <xdr:spPr>
        <a:xfrm rot="10800000">
          <a:off x="14250388" y="55778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99</xdr:row>
      <xdr:rowOff>196272</xdr:rowOff>
    </xdr:from>
    <xdr:to>
      <xdr:col>10</xdr:col>
      <xdr:colOff>2320636</xdr:colOff>
      <xdr:row>99</xdr:row>
      <xdr:rowOff>346363</xdr:rowOff>
    </xdr:to>
    <xdr:sp macro="" textlink="">
      <xdr:nvSpPr>
        <xdr:cNvPr id="756" name="Isosceles Triangle 755">
          <a:extLst>
            <a:ext uri="{FF2B5EF4-FFF2-40B4-BE49-F238E27FC236}">
              <a16:creationId xmlns:a16="http://schemas.microsoft.com/office/drawing/2014/main" id="{27477075-9EF4-4D74-AD55-F89217C5583D}"/>
            </a:ext>
          </a:extLst>
        </xdr:cNvPr>
        <xdr:cNvSpPr/>
      </xdr:nvSpPr>
      <xdr:spPr>
        <a:xfrm rot="10800000">
          <a:off x="14250388" y="557787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757" name="Isosceles Triangle 756">
          <a:extLst>
            <a:ext uri="{FF2B5EF4-FFF2-40B4-BE49-F238E27FC236}">
              <a16:creationId xmlns:a16="http://schemas.microsoft.com/office/drawing/2014/main" id="{CD950CAE-F902-4C75-AA00-BAC5C91A87C1}"/>
            </a:ext>
          </a:extLst>
        </xdr:cNvPr>
        <xdr:cNvSpPr/>
      </xdr:nvSpPr>
      <xdr:spPr>
        <a:xfrm rot="10800000">
          <a:off x="14250388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758" name="Isosceles Triangle 757">
          <a:extLst>
            <a:ext uri="{FF2B5EF4-FFF2-40B4-BE49-F238E27FC236}">
              <a16:creationId xmlns:a16="http://schemas.microsoft.com/office/drawing/2014/main" id="{19E7722E-43F1-4C06-8118-4A1A745C7486}"/>
            </a:ext>
          </a:extLst>
        </xdr:cNvPr>
        <xdr:cNvSpPr/>
      </xdr:nvSpPr>
      <xdr:spPr>
        <a:xfrm rot="10800000">
          <a:off x="14250388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759" name="Isosceles Triangle 758">
          <a:extLst>
            <a:ext uri="{FF2B5EF4-FFF2-40B4-BE49-F238E27FC236}">
              <a16:creationId xmlns:a16="http://schemas.microsoft.com/office/drawing/2014/main" id="{A9DF09E9-EF37-43DF-BE25-D3A501B45C32}"/>
            </a:ext>
          </a:extLst>
        </xdr:cNvPr>
        <xdr:cNvSpPr/>
      </xdr:nvSpPr>
      <xdr:spPr>
        <a:xfrm rot="10800000">
          <a:off x="14250388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760" name="Isosceles Triangle 759">
          <a:extLst>
            <a:ext uri="{FF2B5EF4-FFF2-40B4-BE49-F238E27FC236}">
              <a16:creationId xmlns:a16="http://schemas.microsoft.com/office/drawing/2014/main" id="{4BE0E961-DBCE-4BE0-BAAB-F83CE0A1636E}"/>
            </a:ext>
          </a:extLst>
        </xdr:cNvPr>
        <xdr:cNvSpPr/>
      </xdr:nvSpPr>
      <xdr:spPr>
        <a:xfrm rot="10800000">
          <a:off x="14250388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761" name="Isosceles Triangle 760">
          <a:extLst>
            <a:ext uri="{FF2B5EF4-FFF2-40B4-BE49-F238E27FC236}">
              <a16:creationId xmlns:a16="http://schemas.microsoft.com/office/drawing/2014/main" id="{39599253-DEC9-4478-8725-2D951E272FC8}"/>
            </a:ext>
          </a:extLst>
        </xdr:cNvPr>
        <xdr:cNvSpPr/>
      </xdr:nvSpPr>
      <xdr:spPr>
        <a:xfrm rot="10800000">
          <a:off x="14250388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762" name="Isosceles Triangle 761">
          <a:extLst>
            <a:ext uri="{FF2B5EF4-FFF2-40B4-BE49-F238E27FC236}">
              <a16:creationId xmlns:a16="http://schemas.microsoft.com/office/drawing/2014/main" id="{217632FF-2E19-40F3-9296-997BDF811525}"/>
            </a:ext>
          </a:extLst>
        </xdr:cNvPr>
        <xdr:cNvSpPr/>
      </xdr:nvSpPr>
      <xdr:spPr>
        <a:xfrm rot="10800000">
          <a:off x="14250388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134</xdr:row>
      <xdr:rowOff>196272</xdr:rowOff>
    </xdr:from>
    <xdr:to>
      <xdr:col>10</xdr:col>
      <xdr:colOff>2320636</xdr:colOff>
      <xdr:row>134</xdr:row>
      <xdr:rowOff>346363</xdr:rowOff>
    </xdr:to>
    <xdr:sp macro="" textlink="">
      <xdr:nvSpPr>
        <xdr:cNvPr id="763" name="Isosceles Triangle 762">
          <a:extLst>
            <a:ext uri="{FF2B5EF4-FFF2-40B4-BE49-F238E27FC236}">
              <a16:creationId xmlns:a16="http://schemas.microsoft.com/office/drawing/2014/main" id="{5B8E4D28-E1B9-4D09-BFFE-53D0B3D28EA2}"/>
            </a:ext>
          </a:extLst>
        </xdr:cNvPr>
        <xdr:cNvSpPr/>
      </xdr:nvSpPr>
      <xdr:spPr>
        <a:xfrm rot="10800000">
          <a:off x="14250388" y="7604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134</xdr:row>
      <xdr:rowOff>196272</xdr:rowOff>
    </xdr:from>
    <xdr:to>
      <xdr:col>10</xdr:col>
      <xdr:colOff>2320636</xdr:colOff>
      <xdr:row>134</xdr:row>
      <xdr:rowOff>346363</xdr:rowOff>
    </xdr:to>
    <xdr:sp macro="" textlink="">
      <xdr:nvSpPr>
        <xdr:cNvPr id="764" name="Isosceles Triangle 763">
          <a:extLst>
            <a:ext uri="{FF2B5EF4-FFF2-40B4-BE49-F238E27FC236}">
              <a16:creationId xmlns:a16="http://schemas.microsoft.com/office/drawing/2014/main" id="{C6471FF5-8675-4D6E-89F3-5238B0A28D26}"/>
            </a:ext>
          </a:extLst>
        </xdr:cNvPr>
        <xdr:cNvSpPr/>
      </xdr:nvSpPr>
      <xdr:spPr>
        <a:xfrm rot="10800000">
          <a:off x="14250388" y="7604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134</xdr:row>
      <xdr:rowOff>196272</xdr:rowOff>
    </xdr:from>
    <xdr:to>
      <xdr:col>10</xdr:col>
      <xdr:colOff>2320636</xdr:colOff>
      <xdr:row>134</xdr:row>
      <xdr:rowOff>346363</xdr:rowOff>
    </xdr:to>
    <xdr:sp macro="" textlink="">
      <xdr:nvSpPr>
        <xdr:cNvPr id="765" name="Isosceles Triangle 764">
          <a:extLst>
            <a:ext uri="{FF2B5EF4-FFF2-40B4-BE49-F238E27FC236}">
              <a16:creationId xmlns:a16="http://schemas.microsoft.com/office/drawing/2014/main" id="{5991939C-83CD-48D5-B6C1-5F287278E3FF}"/>
            </a:ext>
          </a:extLst>
        </xdr:cNvPr>
        <xdr:cNvSpPr/>
      </xdr:nvSpPr>
      <xdr:spPr>
        <a:xfrm rot="10800000">
          <a:off x="14250388" y="7604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134</xdr:row>
      <xdr:rowOff>196272</xdr:rowOff>
    </xdr:from>
    <xdr:to>
      <xdr:col>10</xdr:col>
      <xdr:colOff>2320636</xdr:colOff>
      <xdr:row>134</xdr:row>
      <xdr:rowOff>346363</xdr:rowOff>
    </xdr:to>
    <xdr:sp macro="" textlink="">
      <xdr:nvSpPr>
        <xdr:cNvPr id="766" name="Isosceles Triangle 765">
          <a:extLst>
            <a:ext uri="{FF2B5EF4-FFF2-40B4-BE49-F238E27FC236}">
              <a16:creationId xmlns:a16="http://schemas.microsoft.com/office/drawing/2014/main" id="{C42D1E4D-8F5D-4C22-8B97-678C9BB4237B}"/>
            </a:ext>
          </a:extLst>
        </xdr:cNvPr>
        <xdr:cNvSpPr/>
      </xdr:nvSpPr>
      <xdr:spPr>
        <a:xfrm rot="10800000">
          <a:off x="14250388" y="7604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134</xdr:row>
      <xdr:rowOff>196272</xdr:rowOff>
    </xdr:from>
    <xdr:to>
      <xdr:col>10</xdr:col>
      <xdr:colOff>2320636</xdr:colOff>
      <xdr:row>134</xdr:row>
      <xdr:rowOff>346363</xdr:rowOff>
    </xdr:to>
    <xdr:sp macro="" textlink="">
      <xdr:nvSpPr>
        <xdr:cNvPr id="767" name="Isosceles Triangle 766">
          <a:extLst>
            <a:ext uri="{FF2B5EF4-FFF2-40B4-BE49-F238E27FC236}">
              <a16:creationId xmlns:a16="http://schemas.microsoft.com/office/drawing/2014/main" id="{BFECF406-7F44-4846-B4DB-8F188A7C896F}"/>
            </a:ext>
          </a:extLst>
        </xdr:cNvPr>
        <xdr:cNvSpPr/>
      </xdr:nvSpPr>
      <xdr:spPr>
        <a:xfrm rot="10800000">
          <a:off x="14250388" y="7604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134</xdr:row>
      <xdr:rowOff>196272</xdr:rowOff>
    </xdr:from>
    <xdr:to>
      <xdr:col>10</xdr:col>
      <xdr:colOff>2320636</xdr:colOff>
      <xdr:row>134</xdr:row>
      <xdr:rowOff>346363</xdr:rowOff>
    </xdr:to>
    <xdr:sp macro="" textlink="">
      <xdr:nvSpPr>
        <xdr:cNvPr id="768" name="Isosceles Triangle 767">
          <a:extLst>
            <a:ext uri="{FF2B5EF4-FFF2-40B4-BE49-F238E27FC236}">
              <a16:creationId xmlns:a16="http://schemas.microsoft.com/office/drawing/2014/main" id="{3E306C6B-EAE3-44F5-A18E-3B722B281693}"/>
            </a:ext>
          </a:extLst>
        </xdr:cNvPr>
        <xdr:cNvSpPr/>
      </xdr:nvSpPr>
      <xdr:spPr>
        <a:xfrm rot="10800000">
          <a:off x="14250388" y="7604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769" name="Isosceles Triangle 768">
          <a:extLst>
            <a:ext uri="{FF2B5EF4-FFF2-40B4-BE49-F238E27FC236}">
              <a16:creationId xmlns:a16="http://schemas.microsoft.com/office/drawing/2014/main" id="{D7EAB325-1C41-4297-8D31-0AB2B163EC90}"/>
            </a:ext>
          </a:extLst>
        </xdr:cNvPr>
        <xdr:cNvSpPr/>
      </xdr:nvSpPr>
      <xdr:spPr>
        <a:xfrm rot="10800000">
          <a:off x="14250388" y="7662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770" name="Isosceles Triangle 769">
          <a:extLst>
            <a:ext uri="{FF2B5EF4-FFF2-40B4-BE49-F238E27FC236}">
              <a16:creationId xmlns:a16="http://schemas.microsoft.com/office/drawing/2014/main" id="{F7316766-0882-456D-8B70-0034BD3124F5}"/>
            </a:ext>
          </a:extLst>
        </xdr:cNvPr>
        <xdr:cNvSpPr/>
      </xdr:nvSpPr>
      <xdr:spPr>
        <a:xfrm rot="10800000">
          <a:off x="14250388" y="7662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771" name="Isosceles Triangle 770">
          <a:extLst>
            <a:ext uri="{FF2B5EF4-FFF2-40B4-BE49-F238E27FC236}">
              <a16:creationId xmlns:a16="http://schemas.microsoft.com/office/drawing/2014/main" id="{EBC542E7-8EE0-47AA-ABE1-A8F14C8538C6}"/>
            </a:ext>
          </a:extLst>
        </xdr:cNvPr>
        <xdr:cNvSpPr/>
      </xdr:nvSpPr>
      <xdr:spPr>
        <a:xfrm rot="10800000">
          <a:off x="14250388" y="7662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772" name="Isosceles Triangle 771">
          <a:extLst>
            <a:ext uri="{FF2B5EF4-FFF2-40B4-BE49-F238E27FC236}">
              <a16:creationId xmlns:a16="http://schemas.microsoft.com/office/drawing/2014/main" id="{30B8FA6B-2D96-4267-9AAC-BCAE6BA19CAD}"/>
            </a:ext>
          </a:extLst>
        </xdr:cNvPr>
        <xdr:cNvSpPr/>
      </xdr:nvSpPr>
      <xdr:spPr>
        <a:xfrm rot="10800000">
          <a:off x="14250388" y="7662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773" name="Isosceles Triangle 772">
          <a:extLst>
            <a:ext uri="{FF2B5EF4-FFF2-40B4-BE49-F238E27FC236}">
              <a16:creationId xmlns:a16="http://schemas.microsoft.com/office/drawing/2014/main" id="{D6B1C002-426B-493C-B2E9-E77CE187E375}"/>
            </a:ext>
          </a:extLst>
        </xdr:cNvPr>
        <xdr:cNvSpPr/>
      </xdr:nvSpPr>
      <xdr:spPr>
        <a:xfrm rot="10800000">
          <a:off x="14250388" y="7662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774" name="Isosceles Triangle 773">
          <a:extLst>
            <a:ext uri="{FF2B5EF4-FFF2-40B4-BE49-F238E27FC236}">
              <a16:creationId xmlns:a16="http://schemas.microsoft.com/office/drawing/2014/main" id="{52A41722-E32C-4FB3-900F-A433A6110FE9}"/>
            </a:ext>
          </a:extLst>
        </xdr:cNvPr>
        <xdr:cNvSpPr/>
      </xdr:nvSpPr>
      <xdr:spPr>
        <a:xfrm rot="10800000">
          <a:off x="14250388" y="7662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135</xdr:row>
      <xdr:rowOff>196272</xdr:rowOff>
    </xdr:from>
    <xdr:to>
      <xdr:col>10</xdr:col>
      <xdr:colOff>2320636</xdr:colOff>
      <xdr:row>135</xdr:row>
      <xdr:rowOff>346363</xdr:rowOff>
    </xdr:to>
    <xdr:sp macro="" textlink="">
      <xdr:nvSpPr>
        <xdr:cNvPr id="775" name="Isosceles Triangle 774">
          <a:extLst>
            <a:ext uri="{FF2B5EF4-FFF2-40B4-BE49-F238E27FC236}">
              <a16:creationId xmlns:a16="http://schemas.microsoft.com/office/drawing/2014/main" id="{EB465077-1335-46E4-9008-D219F6D69DEA}"/>
            </a:ext>
          </a:extLst>
        </xdr:cNvPr>
        <xdr:cNvSpPr/>
      </xdr:nvSpPr>
      <xdr:spPr>
        <a:xfrm rot="10800000">
          <a:off x="14250388" y="766248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136</xdr:row>
      <xdr:rowOff>196272</xdr:rowOff>
    </xdr:from>
    <xdr:to>
      <xdr:col>10</xdr:col>
      <xdr:colOff>2320636</xdr:colOff>
      <xdr:row>136</xdr:row>
      <xdr:rowOff>346363</xdr:rowOff>
    </xdr:to>
    <xdr:sp macro="" textlink="">
      <xdr:nvSpPr>
        <xdr:cNvPr id="776" name="Isosceles Triangle 775">
          <a:extLst>
            <a:ext uri="{FF2B5EF4-FFF2-40B4-BE49-F238E27FC236}">
              <a16:creationId xmlns:a16="http://schemas.microsoft.com/office/drawing/2014/main" id="{1A6D9DDA-F9D4-432D-9342-AC68830FD607}"/>
            </a:ext>
          </a:extLst>
        </xdr:cNvPr>
        <xdr:cNvSpPr/>
      </xdr:nvSpPr>
      <xdr:spPr>
        <a:xfrm rot="10800000">
          <a:off x="14250388" y="7720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136</xdr:row>
      <xdr:rowOff>196272</xdr:rowOff>
    </xdr:from>
    <xdr:to>
      <xdr:col>10</xdr:col>
      <xdr:colOff>2320636</xdr:colOff>
      <xdr:row>136</xdr:row>
      <xdr:rowOff>346363</xdr:rowOff>
    </xdr:to>
    <xdr:sp macro="" textlink="">
      <xdr:nvSpPr>
        <xdr:cNvPr id="777" name="Isosceles Triangle 776">
          <a:extLst>
            <a:ext uri="{FF2B5EF4-FFF2-40B4-BE49-F238E27FC236}">
              <a16:creationId xmlns:a16="http://schemas.microsoft.com/office/drawing/2014/main" id="{5C05EC5F-9050-4C3D-93C8-25780D740457}"/>
            </a:ext>
          </a:extLst>
        </xdr:cNvPr>
        <xdr:cNvSpPr/>
      </xdr:nvSpPr>
      <xdr:spPr>
        <a:xfrm rot="10800000">
          <a:off x="14250388" y="7720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136</xdr:row>
      <xdr:rowOff>196272</xdr:rowOff>
    </xdr:from>
    <xdr:to>
      <xdr:col>10</xdr:col>
      <xdr:colOff>2320636</xdr:colOff>
      <xdr:row>136</xdr:row>
      <xdr:rowOff>346363</xdr:rowOff>
    </xdr:to>
    <xdr:sp macro="" textlink="">
      <xdr:nvSpPr>
        <xdr:cNvPr id="778" name="Isosceles Triangle 777">
          <a:extLst>
            <a:ext uri="{FF2B5EF4-FFF2-40B4-BE49-F238E27FC236}">
              <a16:creationId xmlns:a16="http://schemas.microsoft.com/office/drawing/2014/main" id="{1AFC7A94-3564-410D-BE8C-2EEE36642754}"/>
            </a:ext>
          </a:extLst>
        </xdr:cNvPr>
        <xdr:cNvSpPr/>
      </xdr:nvSpPr>
      <xdr:spPr>
        <a:xfrm rot="10800000">
          <a:off x="14250388" y="7720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136</xdr:row>
      <xdr:rowOff>196272</xdr:rowOff>
    </xdr:from>
    <xdr:to>
      <xdr:col>10</xdr:col>
      <xdr:colOff>2320636</xdr:colOff>
      <xdr:row>136</xdr:row>
      <xdr:rowOff>346363</xdr:rowOff>
    </xdr:to>
    <xdr:sp macro="" textlink="">
      <xdr:nvSpPr>
        <xdr:cNvPr id="779" name="Isosceles Triangle 778">
          <a:extLst>
            <a:ext uri="{FF2B5EF4-FFF2-40B4-BE49-F238E27FC236}">
              <a16:creationId xmlns:a16="http://schemas.microsoft.com/office/drawing/2014/main" id="{48447B69-0074-412E-8979-0EA441F3D200}"/>
            </a:ext>
          </a:extLst>
        </xdr:cNvPr>
        <xdr:cNvSpPr/>
      </xdr:nvSpPr>
      <xdr:spPr>
        <a:xfrm rot="10800000">
          <a:off x="14250388" y="7720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136</xdr:row>
      <xdr:rowOff>196272</xdr:rowOff>
    </xdr:from>
    <xdr:to>
      <xdr:col>10</xdr:col>
      <xdr:colOff>2320636</xdr:colOff>
      <xdr:row>136</xdr:row>
      <xdr:rowOff>346363</xdr:rowOff>
    </xdr:to>
    <xdr:sp macro="" textlink="">
      <xdr:nvSpPr>
        <xdr:cNvPr id="780" name="Isosceles Triangle 779">
          <a:extLst>
            <a:ext uri="{FF2B5EF4-FFF2-40B4-BE49-F238E27FC236}">
              <a16:creationId xmlns:a16="http://schemas.microsoft.com/office/drawing/2014/main" id="{383ACAED-A8BE-45DB-ACCE-1B9ED765832D}"/>
            </a:ext>
          </a:extLst>
        </xdr:cNvPr>
        <xdr:cNvSpPr/>
      </xdr:nvSpPr>
      <xdr:spPr>
        <a:xfrm rot="10800000">
          <a:off x="14250388" y="7720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136</xdr:row>
      <xdr:rowOff>196272</xdr:rowOff>
    </xdr:from>
    <xdr:to>
      <xdr:col>10</xdr:col>
      <xdr:colOff>2320636</xdr:colOff>
      <xdr:row>136</xdr:row>
      <xdr:rowOff>346363</xdr:rowOff>
    </xdr:to>
    <xdr:sp macro="" textlink="">
      <xdr:nvSpPr>
        <xdr:cNvPr id="781" name="Isosceles Triangle 780">
          <a:extLst>
            <a:ext uri="{FF2B5EF4-FFF2-40B4-BE49-F238E27FC236}">
              <a16:creationId xmlns:a16="http://schemas.microsoft.com/office/drawing/2014/main" id="{FD7659FF-5E9E-4E8B-9D81-28BF0E212B4D}"/>
            </a:ext>
          </a:extLst>
        </xdr:cNvPr>
        <xdr:cNvSpPr/>
      </xdr:nvSpPr>
      <xdr:spPr>
        <a:xfrm rot="10800000">
          <a:off x="14250388" y="7720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136</xdr:row>
      <xdr:rowOff>196272</xdr:rowOff>
    </xdr:from>
    <xdr:to>
      <xdr:col>10</xdr:col>
      <xdr:colOff>2320636</xdr:colOff>
      <xdr:row>136</xdr:row>
      <xdr:rowOff>346363</xdr:rowOff>
    </xdr:to>
    <xdr:sp macro="" textlink="">
      <xdr:nvSpPr>
        <xdr:cNvPr id="782" name="Isosceles Triangle 781">
          <a:extLst>
            <a:ext uri="{FF2B5EF4-FFF2-40B4-BE49-F238E27FC236}">
              <a16:creationId xmlns:a16="http://schemas.microsoft.com/office/drawing/2014/main" id="{04EA64DC-304F-43D8-8FB4-B376E6B22F2D}"/>
            </a:ext>
          </a:extLst>
        </xdr:cNvPr>
        <xdr:cNvSpPr/>
      </xdr:nvSpPr>
      <xdr:spPr>
        <a:xfrm rot="10800000">
          <a:off x="14250388" y="772018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122</xdr:row>
      <xdr:rowOff>196272</xdr:rowOff>
    </xdr:from>
    <xdr:to>
      <xdr:col>10</xdr:col>
      <xdr:colOff>2320636</xdr:colOff>
      <xdr:row>122</xdr:row>
      <xdr:rowOff>346363</xdr:rowOff>
    </xdr:to>
    <xdr:sp macro="" textlink="">
      <xdr:nvSpPr>
        <xdr:cNvPr id="783" name="Isosceles Triangle 782">
          <a:extLst>
            <a:ext uri="{FF2B5EF4-FFF2-40B4-BE49-F238E27FC236}">
              <a16:creationId xmlns:a16="http://schemas.microsoft.com/office/drawing/2014/main" id="{C49C27EF-E89B-455B-AE1C-9A04F5C02606}"/>
            </a:ext>
          </a:extLst>
        </xdr:cNvPr>
        <xdr:cNvSpPr/>
      </xdr:nvSpPr>
      <xdr:spPr>
        <a:xfrm rot="10800000">
          <a:off x="14250388" y="69048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122</xdr:row>
      <xdr:rowOff>196272</xdr:rowOff>
    </xdr:from>
    <xdr:to>
      <xdr:col>10</xdr:col>
      <xdr:colOff>2320636</xdr:colOff>
      <xdr:row>122</xdr:row>
      <xdr:rowOff>346363</xdr:rowOff>
    </xdr:to>
    <xdr:sp macro="" textlink="">
      <xdr:nvSpPr>
        <xdr:cNvPr id="784" name="Isosceles Triangle 783">
          <a:extLst>
            <a:ext uri="{FF2B5EF4-FFF2-40B4-BE49-F238E27FC236}">
              <a16:creationId xmlns:a16="http://schemas.microsoft.com/office/drawing/2014/main" id="{4777B94D-E018-4834-9B9B-23F7246B3519}"/>
            </a:ext>
          </a:extLst>
        </xdr:cNvPr>
        <xdr:cNvSpPr/>
      </xdr:nvSpPr>
      <xdr:spPr>
        <a:xfrm rot="10800000">
          <a:off x="14250388" y="69048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122</xdr:row>
      <xdr:rowOff>196272</xdr:rowOff>
    </xdr:from>
    <xdr:to>
      <xdr:col>10</xdr:col>
      <xdr:colOff>2320636</xdr:colOff>
      <xdr:row>122</xdr:row>
      <xdr:rowOff>346363</xdr:rowOff>
    </xdr:to>
    <xdr:sp macro="" textlink="">
      <xdr:nvSpPr>
        <xdr:cNvPr id="785" name="Isosceles Triangle 784">
          <a:extLst>
            <a:ext uri="{FF2B5EF4-FFF2-40B4-BE49-F238E27FC236}">
              <a16:creationId xmlns:a16="http://schemas.microsoft.com/office/drawing/2014/main" id="{108BFDAE-8986-44A6-B837-89F7F3331EC5}"/>
            </a:ext>
          </a:extLst>
        </xdr:cNvPr>
        <xdr:cNvSpPr/>
      </xdr:nvSpPr>
      <xdr:spPr>
        <a:xfrm rot="10800000">
          <a:off x="14250388" y="69048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122</xdr:row>
      <xdr:rowOff>196272</xdr:rowOff>
    </xdr:from>
    <xdr:to>
      <xdr:col>10</xdr:col>
      <xdr:colOff>2320636</xdr:colOff>
      <xdr:row>122</xdr:row>
      <xdr:rowOff>346363</xdr:rowOff>
    </xdr:to>
    <xdr:sp macro="" textlink="">
      <xdr:nvSpPr>
        <xdr:cNvPr id="786" name="Isosceles Triangle 785">
          <a:extLst>
            <a:ext uri="{FF2B5EF4-FFF2-40B4-BE49-F238E27FC236}">
              <a16:creationId xmlns:a16="http://schemas.microsoft.com/office/drawing/2014/main" id="{DB54BC7F-BEFA-4ABC-A267-EBEFC2E12574}"/>
            </a:ext>
          </a:extLst>
        </xdr:cNvPr>
        <xdr:cNvSpPr/>
      </xdr:nvSpPr>
      <xdr:spPr>
        <a:xfrm rot="10800000">
          <a:off x="14250388" y="69048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123</xdr:row>
      <xdr:rowOff>196272</xdr:rowOff>
    </xdr:from>
    <xdr:to>
      <xdr:col>10</xdr:col>
      <xdr:colOff>2320636</xdr:colOff>
      <xdr:row>123</xdr:row>
      <xdr:rowOff>346363</xdr:rowOff>
    </xdr:to>
    <xdr:sp macro="" textlink="">
      <xdr:nvSpPr>
        <xdr:cNvPr id="787" name="Isosceles Triangle 786">
          <a:extLst>
            <a:ext uri="{FF2B5EF4-FFF2-40B4-BE49-F238E27FC236}">
              <a16:creationId xmlns:a16="http://schemas.microsoft.com/office/drawing/2014/main" id="{07D20262-5777-402A-A696-CB46C73B7809}"/>
            </a:ext>
          </a:extLst>
        </xdr:cNvPr>
        <xdr:cNvSpPr/>
      </xdr:nvSpPr>
      <xdr:spPr>
        <a:xfrm rot="10800000">
          <a:off x="14250388" y="69701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123</xdr:row>
      <xdr:rowOff>196272</xdr:rowOff>
    </xdr:from>
    <xdr:to>
      <xdr:col>10</xdr:col>
      <xdr:colOff>2320636</xdr:colOff>
      <xdr:row>123</xdr:row>
      <xdr:rowOff>346363</xdr:rowOff>
    </xdr:to>
    <xdr:sp macro="" textlink="">
      <xdr:nvSpPr>
        <xdr:cNvPr id="788" name="Isosceles Triangle 787">
          <a:extLst>
            <a:ext uri="{FF2B5EF4-FFF2-40B4-BE49-F238E27FC236}">
              <a16:creationId xmlns:a16="http://schemas.microsoft.com/office/drawing/2014/main" id="{7A88F891-A72C-40CC-ABAD-B44A581E478D}"/>
            </a:ext>
          </a:extLst>
        </xdr:cNvPr>
        <xdr:cNvSpPr/>
      </xdr:nvSpPr>
      <xdr:spPr>
        <a:xfrm rot="10800000">
          <a:off x="14250388" y="69701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123</xdr:row>
      <xdr:rowOff>196272</xdr:rowOff>
    </xdr:from>
    <xdr:to>
      <xdr:col>10</xdr:col>
      <xdr:colOff>2320636</xdr:colOff>
      <xdr:row>123</xdr:row>
      <xdr:rowOff>346363</xdr:rowOff>
    </xdr:to>
    <xdr:sp macro="" textlink="">
      <xdr:nvSpPr>
        <xdr:cNvPr id="789" name="Isosceles Triangle 788">
          <a:extLst>
            <a:ext uri="{FF2B5EF4-FFF2-40B4-BE49-F238E27FC236}">
              <a16:creationId xmlns:a16="http://schemas.microsoft.com/office/drawing/2014/main" id="{1304C54C-881C-43CB-941D-32BB236280E1}"/>
            </a:ext>
          </a:extLst>
        </xdr:cNvPr>
        <xdr:cNvSpPr/>
      </xdr:nvSpPr>
      <xdr:spPr>
        <a:xfrm rot="10800000">
          <a:off x="14250388" y="69701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123</xdr:row>
      <xdr:rowOff>196272</xdr:rowOff>
    </xdr:from>
    <xdr:to>
      <xdr:col>10</xdr:col>
      <xdr:colOff>2320636</xdr:colOff>
      <xdr:row>123</xdr:row>
      <xdr:rowOff>346363</xdr:rowOff>
    </xdr:to>
    <xdr:sp macro="" textlink="">
      <xdr:nvSpPr>
        <xdr:cNvPr id="790" name="Isosceles Triangle 789">
          <a:extLst>
            <a:ext uri="{FF2B5EF4-FFF2-40B4-BE49-F238E27FC236}">
              <a16:creationId xmlns:a16="http://schemas.microsoft.com/office/drawing/2014/main" id="{C6655A2B-4B5E-4AF6-B61E-12AAF0AE764E}"/>
            </a:ext>
          </a:extLst>
        </xdr:cNvPr>
        <xdr:cNvSpPr/>
      </xdr:nvSpPr>
      <xdr:spPr>
        <a:xfrm rot="10800000">
          <a:off x="14250388" y="69701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123</xdr:row>
      <xdr:rowOff>196272</xdr:rowOff>
    </xdr:from>
    <xdr:to>
      <xdr:col>10</xdr:col>
      <xdr:colOff>2320636</xdr:colOff>
      <xdr:row>123</xdr:row>
      <xdr:rowOff>346363</xdr:rowOff>
    </xdr:to>
    <xdr:sp macro="" textlink="">
      <xdr:nvSpPr>
        <xdr:cNvPr id="791" name="Isosceles Triangle 790">
          <a:extLst>
            <a:ext uri="{FF2B5EF4-FFF2-40B4-BE49-F238E27FC236}">
              <a16:creationId xmlns:a16="http://schemas.microsoft.com/office/drawing/2014/main" id="{C1E5D62F-B3A6-4BBD-8A1B-8AE6FFF4B796}"/>
            </a:ext>
          </a:extLst>
        </xdr:cNvPr>
        <xdr:cNvSpPr/>
      </xdr:nvSpPr>
      <xdr:spPr>
        <a:xfrm rot="10800000">
          <a:off x="14250388" y="697015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124</xdr:row>
      <xdr:rowOff>196272</xdr:rowOff>
    </xdr:from>
    <xdr:to>
      <xdr:col>10</xdr:col>
      <xdr:colOff>2320636</xdr:colOff>
      <xdr:row>124</xdr:row>
      <xdr:rowOff>346363</xdr:rowOff>
    </xdr:to>
    <xdr:sp macro="" textlink="">
      <xdr:nvSpPr>
        <xdr:cNvPr id="792" name="Isosceles Triangle 791">
          <a:extLst>
            <a:ext uri="{FF2B5EF4-FFF2-40B4-BE49-F238E27FC236}">
              <a16:creationId xmlns:a16="http://schemas.microsoft.com/office/drawing/2014/main" id="{711FB1B1-321E-45AC-92F2-ED3939AABD5E}"/>
            </a:ext>
          </a:extLst>
        </xdr:cNvPr>
        <xdr:cNvSpPr/>
      </xdr:nvSpPr>
      <xdr:spPr>
        <a:xfrm rot="10800000">
          <a:off x="14250388" y="70278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124</xdr:row>
      <xdr:rowOff>196272</xdr:rowOff>
    </xdr:from>
    <xdr:to>
      <xdr:col>10</xdr:col>
      <xdr:colOff>2320636</xdr:colOff>
      <xdr:row>124</xdr:row>
      <xdr:rowOff>346363</xdr:rowOff>
    </xdr:to>
    <xdr:sp macro="" textlink="">
      <xdr:nvSpPr>
        <xdr:cNvPr id="793" name="Isosceles Triangle 792">
          <a:extLst>
            <a:ext uri="{FF2B5EF4-FFF2-40B4-BE49-F238E27FC236}">
              <a16:creationId xmlns:a16="http://schemas.microsoft.com/office/drawing/2014/main" id="{7AE5FE75-7DED-4110-8F3F-5B52DE16542C}"/>
            </a:ext>
          </a:extLst>
        </xdr:cNvPr>
        <xdr:cNvSpPr/>
      </xdr:nvSpPr>
      <xdr:spPr>
        <a:xfrm rot="10800000">
          <a:off x="14250388" y="70278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124</xdr:row>
      <xdr:rowOff>196272</xdr:rowOff>
    </xdr:from>
    <xdr:to>
      <xdr:col>10</xdr:col>
      <xdr:colOff>2320636</xdr:colOff>
      <xdr:row>124</xdr:row>
      <xdr:rowOff>346363</xdr:rowOff>
    </xdr:to>
    <xdr:sp macro="" textlink="">
      <xdr:nvSpPr>
        <xdr:cNvPr id="794" name="Isosceles Triangle 793">
          <a:extLst>
            <a:ext uri="{FF2B5EF4-FFF2-40B4-BE49-F238E27FC236}">
              <a16:creationId xmlns:a16="http://schemas.microsoft.com/office/drawing/2014/main" id="{2F68D8AC-A3FC-4071-A4D9-E1805DF08207}"/>
            </a:ext>
          </a:extLst>
        </xdr:cNvPr>
        <xdr:cNvSpPr/>
      </xdr:nvSpPr>
      <xdr:spPr>
        <a:xfrm rot="10800000">
          <a:off x="14250388" y="70278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124</xdr:row>
      <xdr:rowOff>196272</xdr:rowOff>
    </xdr:from>
    <xdr:to>
      <xdr:col>10</xdr:col>
      <xdr:colOff>2320636</xdr:colOff>
      <xdr:row>124</xdr:row>
      <xdr:rowOff>346363</xdr:rowOff>
    </xdr:to>
    <xdr:sp macro="" textlink="">
      <xdr:nvSpPr>
        <xdr:cNvPr id="795" name="Isosceles Triangle 794">
          <a:extLst>
            <a:ext uri="{FF2B5EF4-FFF2-40B4-BE49-F238E27FC236}">
              <a16:creationId xmlns:a16="http://schemas.microsoft.com/office/drawing/2014/main" id="{945D3A65-1A46-4E0E-A336-CE2168E5C4EE}"/>
            </a:ext>
          </a:extLst>
        </xdr:cNvPr>
        <xdr:cNvSpPr/>
      </xdr:nvSpPr>
      <xdr:spPr>
        <a:xfrm rot="10800000">
          <a:off x="14250388" y="70278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124</xdr:row>
      <xdr:rowOff>196272</xdr:rowOff>
    </xdr:from>
    <xdr:to>
      <xdr:col>10</xdr:col>
      <xdr:colOff>2320636</xdr:colOff>
      <xdr:row>124</xdr:row>
      <xdr:rowOff>346363</xdr:rowOff>
    </xdr:to>
    <xdr:sp macro="" textlink="">
      <xdr:nvSpPr>
        <xdr:cNvPr id="796" name="Isosceles Triangle 795">
          <a:extLst>
            <a:ext uri="{FF2B5EF4-FFF2-40B4-BE49-F238E27FC236}">
              <a16:creationId xmlns:a16="http://schemas.microsoft.com/office/drawing/2014/main" id="{8169D872-9452-4AF7-96F0-23F43EAF4933}"/>
            </a:ext>
          </a:extLst>
        </xdr:cNvPr>
        <xdr:cNvSpPr/>
      </xdr:nvSpPr>
      <xdr:spPr>
        <a:xfrm rot="10800000">
          <a:off x="14250388" y="702785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53</xdr:row>
      <xdr:rowOff>196272</xdr:rowOff>
    </xdr:from>
    <xdr:to>
      <xdr:col>10</xdr:col>
      <xdr:colOff>2320636</xdr:colOff>
      <xdr:row>53</xdr:row>
      <xdr:rowOff>346363</xdr:rowOff>
    </xdr:to>
    <xdr:sp macro="" textlink="">
      <xdr:nvSpPr>
        <xdr:cNvPr id="797" name="Isosceles Triangle 796">
          <a:extLst>
            <a:ext uri="{FF2B5EF4-FFF2-40B4-BE49-F238E27FC236}">
              <a16:creationId xmlns:a16="http://schemas.microsoft.com/office/drawing/2014/main" id="{BCC340F2-774E-4CAA-8C4E-9F60B3EE01C8}"/>
            </a:ext>
          </a:extLst>
        </xdr:cNvPr>
        <xdr:cNvSpPr/>
      </xdr:nvSpPr>
      <xdr:spPr>
        <a:xfrm rot="10800000">
          <a:off x="14250388" y="29239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53</xdr:row>
      <xdr:rowOff>196272</xdr:rowOff>
    </xdr:from>
    <xdr:to>
      <xdr:col>10</xdr:col>
      <xdr:colOff>2320636</xdr:colOff>
      <xdr:row>53</xdr:row>
      <xdr:rowOff>346363</xdr:rowOff>
    </xdr:to>
    <xdr:sp macro="" textlink="">
      <xdr:nvSpPr>
        <xdr:cNvPr id="798" name="Isosceles Triangle 797">
          <a:extLst>
            <a:ext uri="{FF2B5EF4-FFF2-40B4-BE49-F238E27FC236}">
              <a16:creationId xmlns:a16="http://schemas.microsoft.com/office/drawing/2014/main" id="{1806ED6A-EAD5-40B9-B2CF-513557F223A7}"/>
            </a:ext>
          </a:extLst>
        </xdr:cNvPr>
        <xdr:cNvSpPr/>
      </xdr:nvSpPr>
      <xdr:spPr>
        <a:xfrm rot="10800000">
          <a:off x="14250388" y="29239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53</xdr:row>
      <xdr:rowOff>196272</xdr:rowOff>
    </xdr:from>
    <xdr:to>
      <xdr:col>10</xdr:col>
      <xdr:colOff>2320636</xdr:colOff>
      <xdr:row>53</xdr:row>
      <xdr:rowOff>346363</xdr:rowOff>
    </xdr:to>
    <xdr:sp macro="" textlink="">
      <xdr:nvSpPr>
        <xdr:cNvPr id="799" name="Isosceles Triangle 798">
          <a:extLst>
            <a:ext uri="{FF2B5EF4-FFF2-40B4-BE49-F238E27FC236}">
              <a16:creationId xmlns:a16="http://schemas.microsoft.com/office/drawing/2014/main" id="{C40E3A49-B395-48A5-A603-1ED443073B80}"/>
            </a:ext>
          </a:extLst>
        </xdr:cNvPr>
        <xdr:cNvSpPr/>
      </xdr:nvSpPr>
      <xdr:spPr>
        <a:xfrm rot="10800000">
          <a:off x="14250388" y="29239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53</xdr:row>
      <xdr:rowOff>196272</xdr:rowOff>
    </xdr:from>
    <xdr:to>
      <xdr:col>10</xdr:col>
      <xdr:colOff>2320636</xdr:colOff>
      <xdr:row>53</xdr:row>
      <xdr:rowOff>346363</xdr:rowOff>
    </xdr:to>
    <xdr:sp macro="" textlink="">
      <xdr:nvSpPr>
        <xdr:cNvPr id="800" name="Isosceles Triangle 799">
          <a:extLst>
            <a:ext uri="{FF2B5EF4-FFF2-40B4-BE49-F238E27FC236}">
              <a16:creationId xmlns:a16="http://schemas.microsoft.com/office/drawing/2014/main" id="{3DD44967-EE98-45D2-81D0-22DA30E641BE}"/>
            </a:ext>
          </a:extLst>
        </xdr:cNvPr>
        <xdr:cNvSpPr/>
      </xdr:nvSpPr>
      <xdr:spPr>
        <a:xfrm rot="10800000">
          <a:off x="14250388" y="29239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53</xdr:row>
      <xdr:rowOff>196272</xdr:rowOff>
    </xdr:from>
    <xdr:to>
      <xdr:col>10</xdr:col>
      <xdr:colOff>2320636</xdr:colOff>
      <xdr:row>53</xdr:row>
      <xdr:rowOff>346363</xdr:rowOff>
    </xdr:to>
    <xdr:sp macro="" textlink="">
      <xdr:nvSpPr>
        <xdr:cNvPr id="801" name="Isosceles Triangle 800">
          <a:extLst>
            <a:ext uri="{FF2B5EF4-FFF2-40B4-BE49-F238E27FC236}">
              <a16:creationId xmlns:a16="http://schemas.microsoft.com/office/drawing/2014/main" id="{321A39A2-9DAC-4991-B3F8-1327707A7C09}"/>
            </a:ext>
          </a:extLst>
        </xdr:cNvPr>
        <xdr:cNvSpPr/>
      </xdr:nvSpPr>
      <xdr:spPr>
        <a:xfrm rot="10800000">
          <a:off x="14250388" y="29239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53</xdr:row>
      <xdr:rowOff>196272</xdr:rowOff>
    </xdr:from>
    <xdr:to>
      <xdr:col>10</xdr:col>
      <xdr:colOff>2320636</xdr:colOff>
      <xdr:row>53</xdr:row>
      <xdr:rowOff>346363</xdr:rowOff>
    </xdr:to>
    <xdr:sp macro="" textlink="">
      <xdr:nvSpPr>
        <xdr:cNvPr id="802" name="Isosceles Triangle 801">
          <a:extLst>
            <a:ext uri="{FF2B5EF4-FFF2-40B4-BE49-F238E27FC236}">
              <a16:creationId xmlns:a16="http://schemas.microsoft.com/office/drawing/2014/main" id="{27EDC969-5F1E-453C-B7A3-F4FA84837D99}"/>
            </a:ext>
          </a:extLst>
        </xdr:cNvPr>
        <xdr:cNvSpPr/>
      </xdr:nvSpPr>
      <xdr:spPr>
        <a:xfrm rot="10800000">
          <a:off x="14250388" y="29239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175</xdr:row>
      <xdr:rowOff>184727</xdr:rowOff>
    </xdr:from>
    <xdr:to>
      <xdr:col>9</xdr:col>
      <xdr:colOff>877455</xdr:colOff>
      <xdr:row>175</xdr:row>
      <xdr:rowOff>334818</xdr:rowOff>
    </xdr:to>
    <xdr:sp macro="" textlink="">
      <xdr:nvSpPr>
        <xdr:cNvPr id="803" name="Isosceles Triangle 802">
          <a:extLst>
            <a:ext uri="{FF2B5EF4-FFF2-40B4-BE49-F238E27FC236}">
              <a16:creationId xmlns:a16="http://schemas.microsoft.com/office/drawing/2014/main" id="{2D013B1F-DA77-4BB2-96A8-1D6797C93407}"/>
            </a:ext>
          </a:extLst>
        </xdr:cNvPr>
        <xdr:cNvSpPr/>
      </xdr:nvSpPr>
      <xdr:spPr>
        <a:xfrm rot="10800000">
          <a:off x="11805722" y="9969104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176</xdr:row>
      <xdr:rowOff>196272</xdr:rowOff>
    </xdr:from>
    <xdr:to>
      <xdr:col>8</xdr:col>
      <xdr:colOff>2320636</xdr:colOff>
      <xdr:row>177</xdr:row>
      <xdr:rowOff>3463</xdr:rowOff>
    </xdr:to>
    <xdr:sp macro="" textlink="">
      <xdr:nvSpPr>
        <xdr:cNvPr id="804" name="Isosceles Triangle 803">
          <a:extLst>
            <a:ext uri="{FF2B5EF4-FFF2-40B4-BE49-F238E27FC236}">
              <a16:creationId xmlns:a16="http://schemas.microsoft.com/office/drawing/2014/main" id="{FC192EB7-A4EC-4C8F-9AD6-A351D3FF6F94}"/>
            </a:ext>
          </a:extLst>
        </xdr:cNvPr>
        <xdr:cNvSpPr/>
      </xdr:nvSpPr>
      <xdr:spPr>
        <a:xfrm rot="10800000">
          <a:off x="10788731" y="100279529"/>
          <a:ext cx="207819" cy="357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176</xdr:row>
      <xdr:rowOff>196272</xdr:rowOff>
    </xdr:from>
    <xdr:to>
      <xdr:col>10</xdr:col>
      <xdr:colOff>2320636</xdr:colOff>
      <xdr:row>177</xdr:row>
      <xdr:rowOff>3463</xdr:rowOff>
    </xdr:to>
    <xdr:sp macro="" textlink="">
      <xdr:nvSpPr>
        <xdr:cNvPr id="805" name="Isosceles Triangle 804">
          <a:extLst>
            <a:ext uri="{FF2B5EF4-FFF2-40B4-BE49-F238E27FC236}">
              <a16:creationId xmlns:a16="http://schemas.microsoft.com/office/drawing/2014/main" id="{89472856-8936-4866-913E-D7626012FAF7}"/>
            </a:ext>
          </a:extLst>
        </xdr:cNvPr>
        <xdr:cNvSpPr/>
      </xdr:nvSpPr>
      <xdr:spPr>
        <a:xfrm rot="10800000">
          <a:off x="14250388" y="100279529"/>
          <a:ext cx="207819" cy="357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177</xdr:row>
      <xdr:rowOff>196272</xdr:rowOff>
    </xdr:from>
    <xdr:to>
      <xdr:col>8</xdr:col>
      <xdr:colOff>2320636</xdr:colOff>
      <xdr:row>177</xdr:row>
      <xdr:rowOff>346363</xdr:rowOff>
    </xdr:to>
    <xdr:sp macro="" textlink="">
      <xdr:nvSpPr>
        <xdr:cNvPr id="806" name="Isosceles Triangle 805">
          <a:extLst>
            <a:ext uri="{FF2B5EF4-FFF2-40B4-BE49-F238E27FC236}">
              <a16:creationId xmlns:a16="http://schemas.microsoft.com/office/drawing/2014/main" id="{969AE55A-3C88-41D7-9A69-B849E08FD338}"/>
            </a:ext>
          </a:extLst>
        </xdr:cNvPr>
        <xdr:cNvSpPr/>
      </xdr:nvSpPr>
      <xdr:spPr>
        <a:xfrm rot="10800000">
          <a:off x="10788731" y="100508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177</xdr:row>
      <xdr:rowOff>196272</xdr:rowOff>
    </xdr:from>
    <xdr:to>
      <xdr:col>10</xdr:col>
      <xdr:colOff>2320636</xdr:colOff>
      <xdr:row>177</xdr:row>
      <xdr:rowOff>346363</xdr:rowOff>
    </xdr:to>
    <xdr:sp macro="" textlink="">
      <xdr:nvSpPr>
        <xdr:cNvPr id="807" name="Isosceles Triangle 806">
          <a:extLst>
            <a:ext uri="{FF2B5EF4-FFF2-40B4-BE49-F238E27FC236}">
              <a16:creationId xmlns:a16="http://schemas.microsoft.com/office/drawing/2014/main" id="{24D2BA22-89D2-4D62-9BD3-8539756F6440}"/>
            </a:ext>
          </a:extLst>
        </xdr:cNvPr>
        <xdr:cNvSpPr/>
      </xdr:nvSpPr>
      <xdr:spPr>
        <a:xfrm rot="10800000">
          <a:off x="14250388" y="100508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178</xdr:row>
      <xdr:rowOff>196272</xdr:rowOff>
    </xdr:from>
    <xdr:to>
      <xdr:col>8</xdr:col>
      <xdr:colOff>2320636</xdr:colOff>
      <xdr:row>178</xdr:row>
      <xdr:rowOff>346363</xdr:rowOff>
    </xdr:to>
    <xdr:sp macro="" textlink="">
      <xdr:nvSpPr>
        <xdr:cNvPr id="808" name="Isosceles Triangle 807">
          <a:extLst>
            <a:ext uri="{FF2B5EF4-FFF2-40B4-BE49-F238E27FC236}">
              <a16:creationId xmlns:a16="http://schemas.microsoft.com/office/drawing/2014/main" id="{D4A078E4-7A91-49ED-A9EF-DFB8E468A8D8}"/>
            </a:ext>
          </a:extLst>
        </xdr:cNvPr>
        <xdr:cNvSpPr/>
      </xdr:nvSpPr>
      <xdr:spPr>
        <a:xfrm rot="10800000">
          <a:off x="10788731" y="101128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178</xdr:row>
      <xdr:rowOff>196272</xdr:rowOff>
    </xdr:from>
    <xdr:to>
      <xdr:col>10</xdr:col>
      <xdr:colOff>2320636</xdr:colOff>
      <xdr:row>178</xdr:row>
      <xdr:rowOff>346363</xdr:rowOff>
    </xdr:to>
    <xdr:sp macro="" textlink="">
      <xdr:nvSpPr>
        <xdr:cNvPr id="809" name="Isosceles Triangle 808">
          <a:extLst>
            <a:ext uri="{FF2B5EF4-FFF2-40B4-BE49-F238E27FC236}">
              <a16:creationId xmlns:a16="http://schemas.microsoft.com/office/drawing/2014/main" id="{CB088DDE-954A-4A28-BB3B-3C93DA1FD07B}"/>
            </a:ext>
          </a:extLst>
        </xdr:cNvPr>
        <xdr:cNvSpPr/>
      </xdr:nvSpPr>
      <xdr:spPr>
        <a:xfrm rot="10800000">
          <a:off x="14250388" y="101128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179</xdr:row>
      <xdr:rowOff>196272</xdr:rowOff>
    </xdr:from>
    <xdr:to>
      <xdr:col>8</xdr:col>
      <xdr:colOff>2320636</xdr:colOff>
      <xdr:row>179</xdr:row>
      <xdr:rowOff>346363</xdr:rowOff>
    </xdr:to>
    <xdr:sp macro="" textlink="">
      <xdr:nvSpPr>
        <xdr:cNvPr id="810" name="Isosceles Triangle 809">
          <a:extLst>
            <a:ext uri="{FF2B5EF4-FFF2-40B4-BE49-F238E27FC236}">
              <a16:creationId xmlns:a16="http://schemas.microsoft.com/office/drawing/2014/main" id="{91680D49-723A-4DB2-B1EC-55F4811E27EE}"/>
            </a:ext>
          </a:extLst>
        </xdr:cNvPr>
        <xdr:cNvSpPr/>
      </xdr:nvSpPr>
      <xdr:spPr>
        <a:xfrm rot="10800000">
          <a:off x="10788731" y="10154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179</xdr:row>
      <xdr:rowOff>196272</xdr:rowOff>
    </xdr:from>
    <xdr:to>
      <xdr:col>10</xdr:col>
      <xdr:colOff>2320636</xdr:colOff>
      <xdr:row>179</xdr:row>
      <xdr:rowOff>346363</xdr:rowOff>
    </xdr:to>
    <xdr:sp macro="" textlink="">
      <xdr:nvSpPr>
        <xdr:cNvPr id="811" name="Isosceles Triangle 810">
          <a:extLst>
            <a:ext uri="{FF2B5EF4-FFF2-40B4-BE49-F238E27FC236}">
              <a16:creationId xmlns:a16="http://schemas.microsoft.com/office/drawing/2014/main" id="{5B0C7EB5-7467-480D-ADF1-97DF5417D63E}"/>
            </a:ext>
          </a:extLst>
        </xdr:cNvPr>
        <xdr:cNvSpPr/>
      </xdr:nvSpPr>
      <xdr:spPr>
        <a:xfrm rot="10800000">
          <a:off x="14250388" y="101542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180</xdr:row>
      <xdr:rowOff>196272</xdr:rowOff>
    </xdr:from>
    <xdr:to>
      <xdr:col>8</xdr:col>
      <xdr:colOff>2320636</xdr:colOff>
      <xdr:row>180</xdr:row>
      <xdr:rowOff>346363</xdr:rowOff>
    </xdr:to>
    <xdr:sp macro="" textlink="">
      <xdr:nvSpPr>
        <xdr:cNvPr id="812" name="Isosceles Triangle 811">
          <a:extLst>
            <a:ext uri="{FF2B5EF4-FFF2-40B4-BE49-F238E27FC236}">
              <a16:creationId xmlns:a16="http://schemas.microsoft.com/office/drawing/2014/main" id="{591CE01E-F700-4187-B5FD-D92543472536}"/>
            </a:ext>
          </a:extLst>
        </xdr:cNvPr>
        <xdr:cNvSpPr/>
      </xdr:nvSpPr>
      <xdr:spPr>
        <a:xfrm rot="10800000">
          <a:off x="10788731" y="102010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180</xdr:row>
      <xdr:rowOff>196272</xdr:rowOff>
    </xdr:from>
    <xdr:to>
      <xdr:col>10</xdr:col>
      <xdr:colOff>2320636</xdr:colOff>
      <xdr:row>180</xdr:row>
      <xdr:rowOff>346363</xdr:rowOff>
    </xdr:to>
    <xdr:sp macro="" textlink="">
      <xdr:nvSpPr>
        <xdr:cNvPr id="813" name="Isosceles Triangle 812">
          <a:extLst>
            <a:ext uri="{FF2B5EF4-FFF2-40B4-BE49-F238E27FC236}">
              <a16:creationId xmlns:a16="http://schemas.microsoft.com/office/drawing/2014/main" id="{88C7DE02-7361-4AB0-9118-4DBAEE408D45}"/>
            </a:ext>
          </a:extLst>
        </xdr:cNvPr>
        <xdr:cNvSpPr/>
      </xdr:nvSpPr>
      <xdr:spPr>
        <a:xfrm rot="10800000">
          <a:off x="14250388" y="102010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175</xdr:row>
      <xdr:rowOff>196274</xdr:rowOff>
    </xdr:from>
    <xdr:to>
      <xdr:col>9</xdr:col>
      <xdr:colOff>877456</xdr:colOff>
      <xdr:row>175</xdr:row>
      <xdr:rowOff>346365</xdr:rowOff>
    </xdr:to>
    <xdr:sp macro="" textlink="">
      <xdr:nvSpPr>
        <xdr:cNvPr id="814" name="Isosceles Triangle 813">
          <a:extLst>
            <a:ext uri="{FF2B5EF4-FFF2-40B4-BE49-F238E27FC236}">
              <a16:creationId xmlns:a16="http://schemas.microsoft.com/office/drawing/2014/main" id="{181AB60F-74D4-4B53-B2B5-31B3C82B6203}"/>
            </a:ext>
          </a:extLst>
        </xdr:cNvPr>
        <xdr:cNvSpPr/>
      </xdr:nvSpPr>
      <xdr:spPr>
        <a:xfrm rot="10800000">
          <a:off x="11805723" y="9970258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175</xdr:row>
      <xdr:rowOff>184727</xdr:rowOff>
    </xdr:from>
    <xdr:to>
      <xdr:col>9</xdr:col>
      <xdr:colOff>877455</xdr:colOff>
      <xdr:row>175</xdr:row>
      <xdr:rowOff>334818</xdr:rowOff>
    </xdr:to>
    <xdr:sp macro="" textlink="">
      <xdr:nvSpPr>
        <xdr:cNvPr id="815" name="Isosceles Triangle 814">
          <a:extLst>
            <a:ext uri="{FF2B5EF4-FFF2-40B4-BE49-F238E27FC236}">
              <a16:creationId xmlns:a16="http://schemas.microsoft.com/office/drawing/2014/main" id="{C7D16B61-2AF9-435A-934E-F5CF54939A4A}"/>
            </a:ext>
          </a:extLst>
        </xdr:cNvPr>
        <xdr:cNvSpPr/>
      </xdr:nvSpPr>
      <xdr:spPr>
        <a:xfrm rot="10800000">
          <a:off x="11805722" y="9969104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175</xdr:row>
      <xdr:rowOff>196274</xdr:rowOff>
    </xdr:from>
    <xdr:to>
      <xdr:col>9</xdr:col>
      <xdr:colOff>877456</xdr:colOff>
      <xdr:row>175</xdr:row>
      <xdr:rowOff>346365</xdr:rowOff>
    </xdr:to>
    <xdr:sp macro="" textlink="">
      <xdr:nvSpPr>
        <xdr:cNvPr id="816" name="Isosceles Triangle 815">
          <a:extLst>
            <a:ext uri="{FF2B5EF4-FFF2-40B4-BE49-F238E27FC236}">
              <a16:creationId xmlns:a16="http://schemas.microsoft.com/office/drawing/2014/main" id="{3AA20256-0053-42D3-B750-5FDE03E11316}"/>
            </a:ext>
          </a:extLst>
        </xdr:cNvPr>
        <xdr:cNvSpPr/>
      </xdr:nvSpPr>
      <xdr:spPr>
        <a:xfrm rot="10800000">
          <a:off x="11805723" y="9970258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669636</xdr:colOff>
      <xdr:row>175</xdr:row>
      <xdr:rowOff>184727</xdr:rowOff>
    </xdr:from>
    <xdr:to>
      <xdr:col>9</xdr:col>
      <xdr:colOff>877455</xdr:colOff>
      <xdr:row>175</xdr:row>
      <xdr:rowOff>334818</xdr:rowOff>
    </xdr:to>
    <xdr:sp macro="" textlink="">
      <xdr:nvSpPr>
        <xdr:cNvPr id="817" name="Isosceles Triangle 816">
          <a:extLst>
            <a:ext uri="{FF2B5EF4-FFF2-40B4-BE49-F238E27FC236}">
              <a16:creationId xmlns:a16="http://schemas.microsoft.com/office/drawing/2014/main" id="{542E23BB-8495-41E5-A4FB-47451B5E0DA7}"/>
            </a:ext>
          </a:extLst>
        </xdr:cNvPr>
        <xdr:cNvSpPr/>
      </xdr:nvSpPr>
      <xdr:spPr>
        <a:xfrm rot="10800000">
          <a:off x="11805722" y="99691041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669637</xdr:colOff>
      <xdr:row>175</xdr:row>
      <xdr:rowOff>196274</xdr:rowOff>
    </xdr:from>
    <xdr:to>
      <xdr:col>9</xdr:col>
      <xdr:colOff>877456</xdr:colOff>
      <xdr:row>175</xdr:row>
      <xdr:rowOff>346365</xdr:rowOff>
    </xdr:to>
    <xdr:sp macro="" textlink="">
      <xdr:nvSpPr>
        <xdr:cNvPr id="818" name="Isosceles Triangle 817">
          <a:extLst>
            <a:ext uri="{FF2B5EF4-FFF2-40B4-BE49-F238E27FC236}">
              <a16:creationId xmlns:a16="http://schemas.microsoft.com/office/drawing/2014/main" id="{57E35CCD-B368-4092-A742-029746F63E7A}"/>
            </a:ext>
          </a:extLst>
        </xdr:cNvPr>
        <xdr:cNvSpPr/>
      </xdr:nvSpPr>
      <xdr:spPr>
        <a:xfrm rot="10800000">
          <a:off x="11805723" y="99702588"/>
          <a:ext cx="207819" cy="150091"/>
        </a:xfrm>
        <a:prstGeom prst="triangl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111</xdr:row>
      <xdr:rowOff>196272</xdr:rowOff>
    </xdr:from>
    <xdr:to>
      <xdr:col>10</xdr:col>
      <xdr:colOff>2320636</xdr:colOff>
      <xdr:row>111</xdr:row>
      <xdr:rowOff>346363</xdr:rowOff>
    </xdr:to>
    <xdr:sp macro="" textlink="">
      <xdr:nvSpPr>
        <xdr:cNvPr id="819" name="Isosceles Triangle 818">
          <a:extLst>
            <a:ext uri="{FF2B5EF4-FFF2-40B4-BE49-F238E27FC236}">
              <a16:creationId xmlns:a16="http://schemas.microsoft.com/office/drawing/2014/main" id="{CBCDC565-047E-4A4F-959D-63EDCD0D7EC0}"/>
            </a:ext>
          </a:extLst>
        </xdr:cNvPr>
        <xdr:cNvSpPr/>
      </xdr:nvSpPr>
      <xdr:spPr>
        <a:xfrm rot="10800000">
          <a:off x="14250388" y="62702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111</xdr:row>
      <xdr:rowOff>196272</xdr:rowOff>
    </xdr:from>
    <xdr:to>
      <xdr:col>10</xdr:col>
      <xdr:colOff>2320636</xdr:colOff>
      <xdr:row>111</xdr:row>
      <xdr:rowOff>346363</xdr:rowOff>
    </xdr:to>
    <xdr:sp macro="" textlink="">
      <xdr:nvSpPr>
        <xdr:cNvPr id="820" name="Isosceles Triangle 819">
          <a:extLst>
            <a:ext uri="{FF2B5EF4-FFF2-40B4-BE49-F238E27FC236}">
              <a16:creationId xmlns:a16="http://schemas.microsoft.com/office/drawing/2014/main" id="{BC6D9611-304C-4449-86A9-916B353C273D}"/>
            </a:ext>
          </a:extLst>
        </xdr:cNvPr>
        <xdr:cNvSpPr/>
      </xdr:nvSpPr>
      <xdr:spPr>
        <a:xfrm rot="10800000">
          <a:off x="14250388" y="62702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111</xdr:row>
      <xdr:rowOff>196272</xdr:rowOff>
    </xdr:from>
    <xdr:to>
      <xdr:col>10</xdr:col>
      <xdr:colOff>2320636</xdr:colOff>
      <xdr:row>111</xdr:row>
      <xdr:rowOff>346363</xdr:rowOff>
    </xdr:to>
    <xdr:sp macro="" textlink="">
      <xdr:nvSpPr>
        <xdr:cNvPr id="821" name="Isosceles Triangle 820">
          <a:extLst>
            <a:ext uri="{FF2B5EF4-FFF2-40B4-BE49-F238E27FC236}">
              <a16:creationId xmlns:a16="http://schemas.microsoft.com/office/drawing/2014/main" id="{935265C7-9410-49A8-B660-37783994D987}"/>
            </a:ext>
          </a:extLst>
        </xdr:cNvPr>
        <xdr:cNvSpPr/>
      </xdr:nvSpPr>
      <xdr:spPr>
        <a:xfrm rot="10800000">
          <a:off x="14250388" y="62702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111</xdr:row>
      <xdr:rowOff>196272</xdr:rowOff>
    </xdr:from>
    <xdr:to>
      <xdr:col>10</xdr:col>
      <xdr:colOff>2320636</xdr:colOff>
      <xdr:row>111</xdr:row>
      <xdr:rowOff>346363</xdr:rowOff>
    </xdr:to>
    <xdr:sp macro="" textlink="">
      <xdr:nvSpPr>
        <xdr:cNvPr id="822" name="Isosceles Triangle 821">
          <a:extLst>
            <a:ext uri="{FF2B5EF4-FFF2-40B4-BE49-F238E27FC236}">
              <a16:creationId xmlns:a16="http://schemas.microsoft.com/office/drawing/2014/main" id="{B0CE1932-C16C-4D3C-A541-BC7A764A8D86}"/>
            </a:ext>
          </a:extLst>
        </xdr:cNvPr>
        <xdr:cNvSpPr/>
      </xdr:nvSpPr>
      <xdr:spPr>
        <a:xfrm rot="10800000">
          <a:off x="14250388" y="62702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111</xdr:row>
      <xdr:rowOff>196272</xdr:rowOff>
    </xdr:from>
    <xdr:to>
      <xdr:col>10</xdr:col>
      <xdr:colOff>2320636</xdr:colOff>
      <xdr:row>111</xdr:row>
      <xdr:rowOff>346363</xdr:rowOff>
    </xdr:to>
    <xdr:sp macro="" textlink="">
      <xdr:nvSpPr>
        <xdr:cNvPr id="823" name="Isosceles Triangle 822">
          <a:extLst>
            <a:ext uri="{FF2B5EF4-FFF2-40B4-BE49-F238E27FC236}">
              <a16:creationId xmlns:a16="http://schemas.microsoft.com/office/drawing/2014/main" id="{08D356D4-951A-461F-85B4-EF27A7A53921}"/>
            </a:ext>
          </a:extLst>
        </xdr:cNvPr>
        <xdr:cNvSpPr/>
      </xdr:nvSpPr>
      <xdr:spPr>
        <a:xfrm rot="10800000">
          <a:off x="14250388" y="62702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111</xdr:row>
      <xdr:rowOff>196272</xdr:rowOff>
    </xdr:from>
    <xdr:to>
      <xdr:col>10</xdr:col>
      <xdr:colOff>2320636</xdr:colOff>
      <xdr:row>111</xdr:row>
      <xdr:rowOff>346363</xdr:rowOff>
    </xdr:to>
    <xdr:sp macro="" textlink="">
      <xdr:nvSpPr>
        <xdr:cNvPr id="824" name="Isosceles Triangle 823">
          <a:extLst>
            <a:ext uri="{FF2B5EF4-FFF2-40B4-BE49-F238E27FC236}">
              <a16:creationId xmlns:a16="http://schemas.microsoft.com/office/drawing/2014/main" id="{70F68941-EB04-43A5-B372-67B0E9788350}"/>
            </a:ext>
          </a:extLst>
        </xdr:cNvPr>
        <xdr:cNvSpPr/>
      </xdr:nvSpPr>
      <xdr:spPr>
        <a:xfrm rot="10800000">
          <a:off x="14250388" y="62702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116</xdr:row>
      <xdr:rowOff>196272</xdr:rowOff>
    </xdr:from>
    <xdr:to>
      <xdr:col>10</xdr:col>
      <xdr:colOff>2320636</xdr:colOff>
      <xdr:row>116</xdr:row>
      <xdr:rowOff>346363</xdr:rowOff>
    </xdr:to>
    <xdr:sp macro="" textlink="">
      <xdr:nvSpPr>
        <xdr:cNvPr id="825" name="Isosceles Triangle 824">
          <a:extLst>
            <a:ext uri="{FF2B5EF4-FFF2-40B4-BE49-F238E27FC236}">
              <a16:creationId xmlns:a16="http://schemas.microsoft.com/office/drawing/2014/main" id="{9D20DB23-EB9D-4B93-8583-3FC57DBD72C1}"/>
            </a:ext>
          </a:extLst>
        </xdr:cNvPr>
        <xdr:cNvSpPr/>
      </xdr:nvSpPr>
      <xdr:spPr>
        <a:xfrm rot="10800000">
          <a:off x="14250388" y="65586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116</xdr:row>
      <xdr:rowOff>196272</xdr:rowOff>
    </xdr:from>
    <xdr:to>
      <xdr:col>10</xdr:col>
      <xdr:colOff>2320636</xdr:colOff>
      <xdr:row>116</xdr:row>
      <xdr:rowOff>346363</xdr:rowOff>
    </xdr:to>
    <xdr:sp macro="" textlink="">
      <xdr:nvSpPr>
        <xdr:cNvPr id="826" name="Isosceles Triangle 825">
          <a:extLst>
            <a:ext uri="{FF2B5EF4-FFF2-40B4-BE49-F238E27FC236}">
              <a16:creationId xmlns:a16="http://schemas.microsoft.com/office/drawing/2014/main" id="{793CDE30-4571-4981-9E55-3C46859A62DE}"/>
            </a:ext>
          </a:extLst>
        </xdr:cNvPr>
        <xdr:cNvSpPr/>
      </xdr:nvSpPr>
      <xdr:spPr>
        <a:xfrm rot="10800000">
          <a:off x="14250388" y="65586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116</xdr:row>
      <xdr:rowOff>196272</xdr:rowOff>
    </xdr:from>
    <xdr:to>
      <xdr:col>10</xdr:col>
      <xdr:colOff>2320636</xdr:colOff>
      <xdr:row>116</xdr:row>
      <xdr:rowOff>346363</xdr:rowOff>
    </xdr:to>
    <xdr:sp macro="" textlink="">
      <xdr:nvSpPr>
        <xdr:cNvPr id="827" name="Isosceles Triangle 826">
          <a:extLst>
            <a:ext uri="{FF2B5EF4-FFF2-40B4-BE49-F238E27FC236}">
              <a16:creationId xmlns:a16="http://schemas.microsoft.com/office/drawing/2014/main" id="{749163FE-387C-40A2-B38C-A927FB9A9F8B}"/>
            </a:ext>
          </a:extLst>
        </xdr:cNvPr>
        <xdr:cNvSpPr/>
      </xdr:nvSpPr>
      <xdr:spPr>
        <a:xfrm rot="10800000">
          <a:off x="14250388" y="65586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116</xdr:row>
      <xdr:rowOff>196272</xdr:rowOff>
    </xdr:from>
    <xdr:to>
      <xdr:col>10</xdr:col>
      <xdr:colOff>2320636</xdr:colOff>
      <xdr:row>116</xdr:row>
      <xdr:rowOff>346363</xdr:rowOff>
    </xdr:to>
    <xdr:sp macro="" textlink="">
      <xdr:nvSpPr>
        <xdr:cNvPr id="828" name="Isosceles Triangle 827">
          <a:extLst>
            <a:ext uri="{FF2B5EF4-FFF2-40B4-BE49-F238E27FC236}">
              <a16:creationId xmlns:a16="http://schemas.microsoft.com/office/drawing/2014/main" id="{BC61649B-033F-4C47-87E9-9C85AFF20AEB}"/>
            </a:ext>
          </a:extLst>
        </xdr:cNvPr>
        <xdr:cNvSpPr/>
      </xdr:nvSpPr>
      <xdr:spPr>
        <a:xfrm rot="10800000">
          <a:off x="14250388" y="65586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116</xdr:row>
      <xdr:rowOff>196272</xdr:rowOff>
    </xdr:from>
    <xdr:to>
      <xdr:col>10</xdr:col>
      <xdr:colOff>2320636</xdr:colOff>
      <xdr:row>116</xdr:row>
      <xdr:rowOff>346363</xdr:rowOff>
    </xdr:to>
    <xdr:sp macro="" textlink="">
      <xdr:nvSpPr>
        <xdr:cNvPr id="829" name="Isosceles Triangle 828">
          <a:extLst>
            <a:ext uri="{FF2B5EF4-FFF2-40B4-BE49-F238E27FC236}">
              <a16:creationId xmlns:a16="http://schemas.microsoft.com/office/drawing/2014/main" id="{2A6F5881-C16B-4512-A55F-5CA280F0DE96}"/>
            </a:ext>
          </a:extLst>
        </xdr:cNvPr>
        <xdr:cNvSpPr/>
      </xdr:nvSpPr>
      <xdr:spPr>
        <a:xfrm rot="10800000">
          <a:off x="14250388" y="65586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830" name="Isosceles Triangle 829">
          <a:extLst>
            <a:ext uri="{FF2B5EF4-FFF2-40B4-BE49-F238E27FC236}">
              <a16:creationId xmlns:a16="http://schemas.microsoft.com/office/drawing/2014/main" id="{00783DE1-057A-46A7-8ADB-72CDD5AA8A9B}"/>
            </a:ext>
          </a:extLst>
        </xdr:cNvPr>
        <xdr:cNvSpPr/>
      </xdr:nvSpPr>
      <xdr:spPr>
        <a:xfrm rot="10800000">
          <a:off x="10788731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831" name="Isosceles Triangle 830">
          <a:extLst>
            <a:ext uri="{FF2B5EF4-FFF2-40B4-BE49-F238E27FC236}">
              <a16:creationId xmlns:a16="http://schemas.microsoft.com/office/drawing/2014/main" id="{2BD1DA36-FF28-4036-97F4-E94731F23F71}"/>
            </a:ext>
          </a:extLst>
        </xdr:cNvPr>
        <xdr:cNvSpPr/>
      </xdr:nvSpPr>
      <xdr:spPr>
        <a:xfrm rot="10800000">
          <a:off x="10788731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832" name="Isosceles Triangle 831">
          <a:extLst>
            <a:ext uri="{FF2B5EF4-FFF2-40B4-BE49-F238E27FC236}">
              <a16:creationId xmlns:a16="http://schemas.microsoft.com/office/drawing/2014/main" id="{8D7383FA-7C44-4352-B4C9-39C2E7B0F364}"/>
            </a:ext>
          </a:extLst>
        </xdr:cNvPr>
        <xdr:cNvSpPr/>
      </xdr:nvSpPr>
      <xdr:spPr>
        <a:xfrm rot="10800000">
          <a:off x="10788731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833" name="Isosceles Triangle 832">
          <a:extLst>
            <a:ext uri="{FF2B5EF4-FFF2-40B4-BE49-F238E27FC236}">
              <a16:creationId xmlns:a16="http://schemas.microsoft.com/office/drawing/2014/main" id="{4FC1707F-D248-45B6-BEE5-A7C3BF694CE6}"/>
            </a:ext>
          </a:extLst>
        </xdr:cNvPr>
        <xdr:cNvSpPr/>
      </xdr:nvSpPr>
      <xdr:spPr>
        <a:xfrm rot="10800000">
          <a:off x="10788731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21</xdr:row>
      <xdr:rowOff>196272</xdr:rowOff>
    </xdr:from>
    <xdr:to>
      <xdr:col>8</xdr:col>
      <xdr:colOff>2320636</xdr:colOff>
      <xdr:row>21</xdr:row>
      <xdr:rowOff>346363</xdr:rowOff>
    </xdr:to>
    <xdr:sp macro="" textlink="">
      <xdr:nvSpPr>
        <xdr:cNvPr id="834" name="Isosceles Triangle 833">
          <a:extLst>
            <a:ext uri="{FF2B5EF4-FFF2-40B4-BE49-F238E27FC236}">
              <a16:creationId xmlns:a16="http://schemas.microsoft.com/office/drawing/2014/main" id="{A222CC2C-5DA8-4DC4-B87A-FE893A0DEC7A}"/>
            </a:ext>
          </a:extLst>
        </xdr:cNvPr>
        <xdr:cNvSpPr/>
      </xdr:nvSpPr>
      <xdr:spPr>
        <a:xfrm rot="10800000">
          <a:off x="10788731" y="10700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835" name="Isosceles Triangle 834">
          <a:extLst>
            <a:ext uri="{FF2B5EF4-FFF2-40B4-BE49-F238E27FC236}">
              <a16:creationId xmlns:a16="http://schemas.microsoft.com/office/drawing/2014/main" id="{AE431E68-7BC7-4218-99DF-CE2A9F7E5C3A}"/>
            </a:ext>
          </a:extLst>
        </xdr:cNvPr>
        <xdr:cNvSpPr/>
      </xdr:nvSpPr>
      <xdr:spPr>
        <a:xfrm rot="10800000">
          <a:off x="10788731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836" name="Isosceles Triangle 835">
          <a:extLst>
            <a:ext uri="{FF2B5EF4-FFF2-40B4-BE49-F238E27FC236}">
              <a16:creationId xmlns:a16="http://schemas.microsoft.com/office/drawing/2014/main" id="{749FA783-739F-4E47-9256-03086AC95FE7}"/>
            </a:ext>
          </a:extLst>
        </xdr:cNvPr>
        <xdr:cNvSpPr/>
      </xdr:nvSpPr>
      <xdr:spPr>
        <a:xfrm rot="10800000">
          <a:off x="10788731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837" name="Isosceles Triangle 836">
          <a:extLst>
            <a:ext uri="{FF2B5EF4-FFF2-40B4-BE49-F238E27FC236}">
              <a16:creationId xmlns:a16="http://schemas.microsoft.com/office/drawing/2014/main" id="{4208F202-715D-430B-B7A7-0FE63EB8708A}"/>
            </a:ext>
          </a:extLst>
        </xdr:cNvPr>
        <xdr:cNvSpPr/>
      </xdr:nvSpPr>
      <xdr:spPr>
        <a:xfrm rot="10800000">
          <a:off x="10788731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838" name="Isosceles Triangle 837">
          <a:extLst>
            <a:ext uri="{FF2B5EF4-FFF2-40B4-BE49-F238E27FC236}">
              <a16:creationId xmlns:a16="http://schemas.microsoft.com/office/drawing/2014/main" id="{3B75D0AE-1BEB-49E9-9C34-A467EE16785E}"/>
            </a:ext>
          </a:extLst>
        </xdr:cNvPr>
        <xdr:cNvSpPr/>
      </xdr:nvSpPr>
      <xdr:spPr>
        <a:xfrm rot="10800000">
          <a:off x="10788731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22</xdr:row>
      <xdr:rowOff>196272</xdr:rowOff>
    </xdr:from>
    <xdr:to>
      <xdr:col>8</xdr:col>
      <xdr:colOff>2320636</xdr:colOff>
      <xdr:row>22</xdr:row>
      <xdr:rowOff>346363</xdr:rowOff>
    </xdr:to>
    <xdr:sp macro="" textlink="">
      <xdr:nvSpPr>
        <xdr:cNvPr id="839" name="Isosceles Triangle 838">
          <a:extLst>
            <a:ext uri="{FF2B5EF4-FFF2-40B4-BE49-F238E27FC236}">
              <a16:creationId xmlns:a16="http://schemas.microsoft.com/office/drawing/2014/main" id="{865B7F7A-7959-45FD-8B20-810CA57E883C}"/>
            </a:ext>
          </a:extLst>
        </xdr:cNvPr>
        <xdr:cNvSpPr/>
      </xdr:nvSpPr>
      <xdr:spPr>
        <a:xfrm rot="10800000">
          <a:off x="10788731" y="11277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00" name="Isosceles Triangle 899">
          <a:extLst>
            <a:ext uri="{FF2B5EF4-FFF2-40B4-BE49-F238E27FC236}">
              <a16:creationId xmlns:a16="http://schemas.microsoft.com/office/drawing/2014/main" id="{2A278AFC-4812-4511-B516-6237769A0E0E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01" name="Isosceles Triangle 900">
          <a:extLst>
            <a:ext uri="{FF2B5EF4-FFF2-40B4-BE49-F238E27FC236}">
              <a16:creationId xmlns:a16="http://schemas.microsoft.com/office/drawing/2014/main" id="{CF7EA0EA-1F9A-44CD-B4C6-A2C6C41F1CC0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02" name="Isosceles Triangle 901">
          <a:extLst>
            <a:ext uri="{FF2B5EF4-FFF2-40B4-BE49-F238E27FC236}">
              <a16:creationId xmlns:a16="http://schemas.microsoft.com/office/drawing/2014/main" id="{DDBB58A3-FA21-4A95-898F-8708B06688A2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03" name="Isosceles Triangle 902">
          <a:extLst>
            <a:ext uri="{FF2B5EF4-FFF2-40B4-BE49-F238E27FC236}">
              <a16:creationId xmlns:a16="http://schemas.microsoft.com/office/drawing/2014/main" id="{79EF7110-0600-41E6-9FBB-C8682B8AF89E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04" name="Isosceles Triangle 903">
          <a:extLst>
            <a:ext uri="{FF2B5EF4-FFF2-40B4-BE49-F238E27FC236}">
              <a16:creationId xmlns:a16="http://schemas.microsoft.com/office/drawing/2014/main" id="{E8D952B8-512D-43B4-B5E3-5EFE4B506956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05" name="Isosceles Triangle 904">
          <a:extLst>
            <a:ext uri="{FF2B5EF4-FFF2-40B4-BE49-F238E27FC236}">
              <a16:creationId xmlns:a16="http://schemas.microsoft.com/office/drawing/2014/main" id="{B5228A1C-9C59-4AB7-B720-21855D3BEBB9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113</xdr:row>
      <xdr:rowOff>196272</xdr:rowOff>
    </xdr:from>
    <xdr:to>
      <xdr:col>8</xdr:col>
      <xdr:colOff>2320636</xdr:colOff>
      <xdr:row>113</xdr:row>
      <xdr:rowOff>346363</xdr:rowOff>
    </xdr:to>
    <xdr:sp macro="" textlink="">
      <xdr:nvSpPr>
        <xdr:cNvPr id="906" name="Isosceles Triangle 905">
          <a:extLst>
            <a:ext uri="{FF2B5EF4-FFF2-40B4-BE49-F238E27FC236}">
              <a16:creationId xmlns:a16="http://schemas.microsoft.com/office/drawing/2014/main" id="{8B2589C1-2B38-474A-89C2-20B3A96AE014}"/>
            </a:ext>
          </a:extLst>
        </xdr:cNvPr>
        <xdr:cNvSpPr/>
      </xdr:nvSpPr>
      <xdr:spPr>
        <a:xfrm rot="10800000">
          <a:off x="10788731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907" name="Isosceles Triangle 906">
          <a:extLst>
            <a:ext uri="{FF2B5EF4-FFF2-40B4-BE49-F238E27FC236}">
              <a16:creationId xmlns:a16="http://schemas.microsoft.com/office/drawing/2014/main" id="{E22C3D8F-BAAE-47DA-8CDB-5F07C266E92F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908" name="Isosceles Triangle 907">
          <a:extLst>
            <a:ext uri="{FF2B5EF4-FFF2-40B4-BE49-F238E27FC236}">
              <a16:creationId xmlns:a16="http://schemas.microsoft.com/office/drawing/2014/main" id="{7C12EAEE-4C98-4471-8E16-C303FB526611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909" name="Isosceles Triangle 908">
          <a:extLst>
            <a:ext uri="{FF2B5EF4-FFF2-40B4-BE49-F238E27FC236}">
              <a16:creationId xmlns:a16="http://schemas.microsoft.com/office/drawing/2014/main" id="{D81ACFC5-E8E4-4A65-A0C4-341DED57DAF0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910" name="Isosceles Triangle 909">
          <a:extLst>
            <a:ext uri="{FF2B5EF4-FFF2-40B4-BE49-F238E27FC236}">
              <a16:creationId xmlns:a16="http://schemas.microsoft.com/office/drawing/2014/main" id="{C9792305-EBBD-4733-9A8E-CB5576B2B502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911" name="Isosceles Triangle 910">
          <a:extLst>
            <a:ext uri="{FF2B5EF4-FFF2-40B4-BE49-F238E27FC236}">
              <a16:creationId xmlns:a16="http://schemas.microsoft.com/office/drawing/2014/main" id="{19715F36-8ACB-414A-8B88-D8A0BF4270B4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912" name="Isosceles Triangle 911">
          <a:extLst>
            <a:ext uri="{FF2B5EF4-FFF2-40B4-BE49-F238E27FC236}">
              <a16:creationId xmlns:a16="http://schemas.microsoft.com/office/drawing/2014/main" id="{EAA0A944-4FE4-497A-BB9D-E06AE32EA6DC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913" name="Isosceles Triangle 912">
          <a:extLst>
            <a:ext uri="{FF2B5EF4-FFF2-40B4-BE49-F238E27FC236}">
              <a16:creationId xmlns:a16="http://schemas.microsoft.com/office/drawing/2014/main" id="{707DC795-3D1A-453F-B235-134A2CA9AE4E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914" name="Isosceles Triangle 913">
          <a:extLst>
            <a:ext uri="{FF2B5EF4-FFF2-40B4-BE49-F238E27FC236}">
              <a16:creationId xmlns:a16="http://schemas.microsoft.com/office/drawing/2014/main" id="{516CAF6E-3F7C-4EAC-B0C7-13720BA54951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915" name="Isosceles Triangle 914">
          <a:extLst>
            <a:ext uri="{FF2B5EF4-FFF2-40B4-BE49-F238E27FC236}">
              <a16:creationId xmlns:a16="http://schemas.microsoft.com/office/drawing/2014/main" id="{3775AC39-2817-4D38-838A-CB466D0D80E3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916" name="Isosceles Triangle 915">
          <a:extLst>
            <a:ext uri="{FF2B5EF4-FFF2-40B4-BE49-F238E27FC236}">
              <a16:creationId xmlns:a16="http://schemas.microsoft.com/office/drawing/2014/main" id="{DE1F1DF4-B8E0-401B-BCC9-D71D4AC55823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917" name="Isosceles Triangle 916">
          <a:extLst>
            <a:ext uri="{FF2B5EF4-FFF2-40B4-BE49-F238E27FC236}">
              <a16:creationId xmlns:a16="http://schemas.microsoft.com/office/drawing/2014/main" id="{3372CFFC-EE16-469E-8DEE-FC24A2CEBC21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918" name="Isosceles Triangle 917">
          <a:extLst>
            <a:ext uri="{FF2B5EF4-FFF2-40B4-BE49-F238E27FC236}">
              <a16:creationId xmlns:a16="http://schemas.microsoft.com/office/drawing/2014/main" id="{D02CC199-33EA-4F01-A2AF-25D122D626F9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919" name="Isosceles Triangle 918">
          <a:extLst>
            <a:ext uri="{FF2B5EF4-FFF2-40B4-BE49-F238E27FC236}">
              <a16:creationId xmlns:a16="http://schemas.microsoft.com/office/drawing/2014/main" id="{82F1A9A5-17A4-4E67-88AB-2FD86ECD60B8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113</xdr:row>
      <xdr:rowOff>196272</xdr:rowOff>
    </xdr:from>
    <xdr:to>
      <xdr:col>10</xdr:col>
      <xdr:colOff>2320636</xdr:colOff>
      <xdr:row>113</xdr:row>
      <xdr:rowOff>346363</xdr:rowOff>
    </xdr:to>
    <xdr:sp macro="" textlink="">
      <xdr:nvSpPr>
        <xdr:cNvPr id="920" name="Isosceles Triangle 919">
          <a:extLst>
            <a:ext uri="{FF2B5EF4-FFF2-40B4-BE49-F238E27FC236}">
              <a16:creationId xmlns:a16="http://schemas.microsoft.com/office/drawing/2014/main" id="{B97FAD20-BD11-48F5-A52D-04D255DADD17}"/>
            </a:ext>
          </a:extLst>
        </xdr:cNvPr>
        <xdr:cNvSpPr/>
      </xdr:nvSpPr>
      <xdr:spPr>
        <a:xfrm rot="10800000">
          <a:off x="14250388" y="638559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86</xdr:row>
      <xdr:rowOff>196272</xdr:rowOff>
    </xdr:from>
    <xdr:to>
      <xdr:col>10</xdr:col>
      <xdr:colOff>2320636</xdr:colOff>
      <xdr:row>86</xdr:row>
      <xdr:rowOff>346363</xdr:rowOff>
    </xdr:to>
    <xdr:sp macro="" textlink="">
      <xdr:nvSpPr>
        <xdr:cNvPr id="929" name="Isosceles Triangle 928">
          <a:extLst>
            <a:ext uri="{FF2B5EF4-FFF2-40B4-BE49-F238E27FC236}">
              <a16:creationId xmlns:a16="http://schemas.microsoft.com/office/drawing/2014/main" id="{A3C67123-C618-4214-823F-37E30D3B7828}"/>
            </a:ext>
          </a:extLst>
        </xdr:cNvPr>
        <xdr:cNvSpPr/>
      </xdr:nvSpPr>
      <xdr:spPr>
        <a:xfrm rot="10800000">
          <a:off x="14250388" y="48278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86</xdr:row>
      <xdr:rowOff>196272</xdr:rowOff>
    </xdr:from>
    <xdr:to>
      <xdr:col>10</xdr:col>
      <xdr:colOff>2320636</xdr:colOff>
      <xdr:row>86</xdr:row>
      <xdr:rowOff>346363</xdr:rowOff>
    </xdr:to>
    <xdr:sp macro="" textlink="">
      <xdr:nvSpPr>
        <xdr:cNvPr id="930" name="Isosceles Triangle 929">
          <a:extLst>
            <a:ext uri="{FF2B5EF4-FFF2-40B4-BE49-F238E27FC236}">
              <a16:creationId xmlns:a16="http://schemas.microsoft.com/office/drawing/2014/main" id="{C688557C-7D80-4E93-8988-CEC2BA93C17D}"/>
            </a:ext>
          </a:extLst>
        </xdr:cNvPr>
        <xdr:cNvSpPr/>
      </xdr:nvSpPr>
      <xdr:spPr>
        <a:xfrm rot="10800000">
          <a:off x="14250388" y="48278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86</xdr:row>
      <xdr:rowOff>196272</xdr:rowOff>
    </xdr:from>
    <xdr:to>
      <xdr:col>10</xdr:col>
      <xdr:colOff>2320636</xdr:colOff>
      <xdr:row>86</xdr:row>
      <xdr:rowOff>346363</xdr:rowOff>
    </xdr:to>
    <xdr:sp macro="" textlink="">
      <xdr:nvSpPr>
        <xdr:cNvPr id="931" name="Isosceles Triangle 930">
          <a:extLst>
            <a:ext uri="{FF2B5EF4-FFF2-40B4-BE49-F238E27FC236}">
              <a16:creationId xmlns:a16="http://schemas.microsoft.com/office/drawing/2014/main" id="{7B749868-FB7E-4932-90B7-0D42468AFF1B}"/>
            </a:ext>
          </a:extLst>
        </xdr:cNvPr>
        <xdr:cNvSpPr/>
      </xdr:nvSpPr>
      <xdr:spPr>
        <a:xfrm rot="10800000">
          <a:off x="14250388" y="48278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86</xdr:row>
      <xdr:rowOff>196272</xdr:rowOff>
    </xdr:from>
    <xdr:to>
      <xdr:col>10</xdr:col>
      <xdr:colOff>2320636</xdr:colOff>
      <xdr:row>86</xdr:row>
      <xdr:rowOff>346363</xdr:rowOff>
    </xdr:to>
    <xdr:sp macro="" textlink="">
      <xdr:nvSpPr>
        <xdr:cNvPr id="932" name="Isosceles Triangle 931">
          <a:extLst>
            <a:ext uri="{FF2B5EF4-FFF2-40B4-BE49-F238E27FC236}">
              <a16:creationId xmlns:a16="http://schemas.microsoft.com/office/drawing/2014/main" id="{2A66A9B9-5096-4AF0-831F-A46594E9445D}"/>
            </a:ext>
          </a:extLst>
        </xdr:cNvPr>
        <xdr:cNvSpPr/>
      </xdr:nvSpPr>
      <xdr:spPr>
        <a:xfrm rot="10800000">
          <a:off x="14250388" y="48278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86</xdr:row>
      <xdr:rowOff>196272</xdr:rowOff>
    </xdr:from>
    <xdr:to>
      <xdr:col>10</xdr:col>
      <xdr:colOff>2320636</xdr:colOff>
      <xdr:row>86</xdr:row>
      <xdr:rowOff>346363</xdr:rowOff>
    </xdr:to>
    <xdr:sp macro="" textlink="">
      <xdr:nvSpPr>
        <xdr:cNvPr id="933" name="Isosceles Triangle 932">
          <a:extLst>
            <a:ext uri="{FF2B5EF4-FFF2-40B4-BE49-F238E27FC236}">
              <a16:creationId xmlns:a16="http://schemas.microsoft.com/office/drawing/2014/main" id="{97D05BCB-12D6-41CA-A226-3D0EDD8376C3}"/>
            </a:ext>
          </a:extLst>
        </xdr:cNvPr>
        <xdr:cNvSpPr/>
      </xdr:nvSpPr>
      <xdr:spPr>
        <a:xfrm rot="10800000">
          <a:off x="14250388" y="48278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86</xdr:row>
      <xdr:rowOff>196272</xdr:rowOff>
    </xdr:from>
    <xdr:to>
      <xdr:col>10</xdr:col>
      <xdr:colOff>2320636</xdr:colOff>
      <xdr:row>86</xdr:row>
      <xdr:rowOff>346363</xdr:rowOff>
    </xdr:to>
    <xdr:sp macro="" textlink="">
      <xdr:nvSpPr>
        <xdr:cNvPr id="934" name="Isosceles Triangle 933">
          <a:extLst>
            <a:ext uri="{FF2B5EF4-FFF2-40B4-BE49-F238E27FC236}">
              <a16:creationId xmlns:a16="http://schemas.microsoft.com/office/drawing/2014/main" id="{9969A3A8-4E80-4921-AEB4-5DA62B3D1E35}"/>
            </a:ext>
          </a:extLst>
        </xdr:cNvPr>
        <xdr:cNvSpPr/>
      </xdr:nvSpPr>
      <xdr:spPr>
        <a:xfrm rot="10800000">
          <a:off x="14250388" y="482784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935" name="Isosceles Triangle 934">
          <a:extLst>
            <a:ext uri="{FF2B5EF4-FFF2-40B4-BE49-F238E27FC236}">
              <a16:creationId xmlns:a16="http://schemas.microsoft.com/office/drawing/2014/main" id="{CCE30AEF-E09F-4870-91B8-F13C76AA93B0}"/>
            </a:ext>
          </a:extLst>
        </xdr:cNvPr>
        <xdr:cNvSpPr/>
      </xdr:nvSpPr>
      <xdr:spPr>
        <a:xfrm rot="10800000">
          <a:off x="14250388" y="36162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936" name="Isosceles Triangle 935">
          <a:extLst>
            <a:ext uri="{FF2B5EF4-FFF2-40B4-BE49-F238E27FC236}">
              <a16:creationId xmlns:a16="http://schemas.microsoft.com/office/drawing/2014/main" id="{5CF8B933-96B8-440C-9ADC-74A4321DCD91}"/>
            </a:ext>
          </a:extLst>
        </xdr:cNvPr>
        <xdr:cNvSpPr/>
      </xdr:nvSpPr>
      <xdr:spPr>
        <a:xfrm rot="10800000">
          <a:off x="14250388" y="36162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937" name="Isosceles Triangle 936">
          <a:extLst>
            <a:ext uri="{FF2B5EF4-FFF2-40B4-BE49-F238E27FC236}">
              <a16:creationId xmlns:a16="http://schemas.microsoft.com/office/drawing/2014/main" id="{D8192A62-E202-49ED-8715-6680E781C593}"/>
            </a:ext>
          </a:extLst>
        </xdr:cNvPr>
        <xdr:cNvSpPr/>
      </xdr:nvSpPr>
      <xdr:spPr>
        <a:xfrm rot="10800000">
          <a:off x="14250388" y="36162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938" name="Isosceles Triangle 937">
          <a:extLst>
            <a:ext uri="{FF2B5EF4-FFF2-40B4-BE49-F238E27FC236}">
              <a16:creationId xmlns:a16="http://schemas.microsoft.com/office/drawing/2014/main" id="{CAFFB1C2-382C-4175-AAF8-29B7CA7914A7}"/>
            </a:ext>
          </a:extLst>
        </xdr:cNvPr>
        <xdr:cNvSpPr/>
      </xdr:nvSpPr>
      <xdr:spPr>
        <a:xfrm rot="10800000">
          <a:off x="14250388" y="36162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939" name="Isosceles Triangle 938">
          <a:extLst>
            <a:ext uri="{FF2B5EF4-FFF2-40B4-BE49-F238E27FC236}">
              <a16:creationId xmlns:a16="http://schemas.microsoft.com/office/drawing/2014/main" id="{9FB8D4F0-2427-42DB-9D47-21A5EA71A33A}"/>
            </a:ext>
          </a:extLst>
        </xdr:cNvPr>
        <xdr:cNvSpPr/>
      </xdr:nvSpPr>
      <xdr:spPr>
        <a:xfrm rot="10800000">
          <a:off x="14250388" y="36162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65</xdr:row>
      <xdr:rowOff>196272</xdr:rowOff>
    </xdr:from>
    <xdr:to>
      <xdr:col>10</xdr:col>
      <xdr:colOff>2320636</xdr:colOff>
      <xdr:row>65</xdr:row>
      <xdr:rowOff>346363</xdr:rowOff>
    </xdr:to>
    <xdr:sp macro="" textlink="">
      <xdr:nvSpPr>
        <xdr:cNvPr id="940" name="Isosceles Triangle 939">
          <a:extLst>
            <a:ext uri="{FF2B5EF4-FFF2-40B4-BE49-F238E27FC236}">
              <a16:creationId xmlns:a16="http://schemas.microsoft.com/office/drawing/2014/main" id="{BECCF0D9-031B-41EE-B659-295E8B6C69B1}"/>
            </a:ext>
          </a:extLst>
        </xdr:cNvPr>
        <xdr:cNvSpPr/>
      </xdr:nvSpPr>
      <xdr:spPr>
        <a:xfrm rot="10800000">
          <a:off x="14250388" y="36162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71</xdr:row>
      <xdr:rowOff>196272</xdr:rowOff>
    </xdr:from>
    <xdr:to>
      <xdr:col>8</xdr:col>
      <xdr:colOff>2320636</xdr:colOff>
      <xdr:row>71</xdr:row>
      <xdr:rowOff>346363</xdr:rowOff>
    </xdr:to>
    <xdr:sp macro="" textlink="">
      <xdr:nvSpPr>
        <xdr:cNvPr id="941" name="Isosceles Triangle 940">
          <a:extLst>
            <a:ext uri="{FF2B5EF4-FFF2-40B4-BE49-F238E27FC236}">
              <a16:creationId xmlns:a16="http://schemas.microsoft.com/office/drawing/2014/main" id="{E83ED3EC-3FCD-42B4-8A3E-0D561A95EC20}"/>
            </a:ext>
          </a:extLst>
        </xdr:cNvPr>
        <xdr:cNvSpPr/>
      </xdr:nvSpPr>
      <xdr:spPr>
        <a:xfrm rot="10800000">
          <a:off x="10788731" y="39624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77</xdr:row>
      <xdr:rowOff>196272</xdr:rowOff>
    </xdr:from>
    <xdr:to>
      <xdr:col>8</xdr:col>
      <xdr:colOff>2320636</xdr:colOff>
      <xdr:row>77</xdr:row>
      <xdr:rowOff>346363</xdr:rowOff>
    </xdr:to>
    <xdr:sp macro="" textlink="">
      <xdr:nvSpPr>
        <xdr:cNvPr id="942" name="Isosceles Triangle 941">
          <a:extLst>
            <a:ext uri="{FF2B5EF4-FFF2-40B4-BE49-F238E27FC236}">
              <a16:creationId xmlns:a16="http://schemas.microsoft.com/office/drawing/2014/main" id="{0FA6B684-E32C-4FF7-B8B9-343502CF1FEF}"/>
            </a:ext>
          </a:extLst>
        </xdr:cNvPr>
        <xdr:cNvSpPr/>
      </xdr:nvSpPr>
      <xdr:spPr>
        <a:xfrm rot="10800000">
          <a:off x="10788731" y="43085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77</xdr:row>
      <xdr:rowOff>196272</xdr:rowOff>
    </xdr:from>
    <xdr:to>
      <xdr:col>10</xdr:col>
      <xdr:colOff>2320636</xdr:colOff>
      <xdr:row>77</xdr:row>
      <xdr:rowOff>346363</xdr:rowOff>
    </xdr:to>
    <xdr:sp macro="" textlink="">
      <xdr:nvSpPr>
        <xdr:cNvPr id="943" name="Isosceles Triangle 942">
          <a:extLst>
            <a:ext uri="{FF2B5EF4-FFF2-40B4-BE49-F238E27FC236}">
              <a16:creationId xmlns:a16="http://schemas.microsoft.com/office/drawing/2014/main" id="{A608DDCD-9DD8-4908-AED8-088ABC758884}"/>
            </a:ext>
          </a:extLst>
        </xdr:cNvPr>
        <xdr:cNvSpPr/>
      </xdr:nvSpPr>
      <xdr:spPr>
        <a:xfrm rot="10800000">
          <a:off x="14250388" y="43085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89</xdr:row>
      <xdr:rowOff>196272</xdr:rowOff>
    </xdr:from>
    <xdr:to>
      <xdr:col>8</xdr:col>
      <xdr:colOff>2320636</xdr:colOff>
      <xdr:row>89</xdr:row>
      <xdr:rowOff>346363</xdr:rowOff>
    </xdr:to>
    <xdr:sp macro="" textlink="">
      <xdr:nvSpPr>
        <xdr:cNvPr id="944" name="Isosceles Triangle 943">
          <a:extLst>
            <a:ext uri="{FF2B5EF4-FFF2-40B4-BE49-F238E27FC236}">
              <a16:creationId xmlns:a16="http://schemas.microsoft.com/office/drawing/2014/main" id="{2A53A3CA-5BCE-43D9-93BE-0A407D2AAD09}"/>
            </a:ext>
          </a:extLst>
        </xdr:cNvPr>
        <xdr:cNvSpPr/>
      </xdr:nvSpPr>
      <xdr:spPr>
        <a:xfrm rot="10800000">
          <a:off x="10788731" y="50009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945" name="Isosceles Triangle 944">
          <a:extLst>
            <a:ext uri="{FF2B5EF4-FFF2-40B4-BE49-F238E27FC236}">
              <a16:creationId xmlns:a16="http://schemas.microsoft.com/office/drawing/2014/main" id="{2EAF94B7-B423-4910-9406-EF55224DE39B}"/>
            </a:ext>
          </a:extLst>
        </xdr:cNvPr>
        <xdr:cNvSpPr/>
      </xdr:nvSpPr>
      <xdr:spPr>
        <a:xfrm rot="10800000">
          <a:off x="14250388" y="50009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95</xdr:row>
      <xdr:rowOff>196272</xdr:rowOff>
    </xdr:from>
    <xdr:to>
      <xdr:col>8</xdr:col>
      <xdr:colOff>2320636</xdr:colOff>
      <xdr:row>95</xdr:row>
      <xdr:rowOff>346363</xdr:rowOff>
    </xdr:to>
    <xdr:sp macro="" textlink="">
      <xdr:nvSpPr>
        <xdr:cNvPr id="946" name="Isosceles Triangle 945">
          <a:extLst>
            <a:ext uri="{FF2B5EF4-FFF2-40B4-BE49-F238E27FC236}">
              <a16:creationId xmlns:a16="http://schemas.microsoft.com/office/drawing/2014/main" id="{79CE34D4-A574-4450-BB43-5C49F4F46E05}"/>
            </a:ext>
          </a:extLst>
        </xdr:cNvPr>
        <xdr:cNvSpPr/>
      </xdr:nvSpPr>
      <xdr:spPr>
        <a:xfrm rot="10800000">
          <a:off x="10788731" y="53470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95</xdr:row>
      <xdr:rowOff>196272</xdr:rowOff>
    </xdr:from>
    <xdr:to>
      <xdr:col>10</xdr:col>
      <xdr:colOff>2320636</xdr:colOff>
      <xdr:row>95</xdr:row>
      <xdr:rowOff>346363</xdr:rowOff>
    </xdr:to>
    <xdr:sp macro="" textlink="">
      <xdr:nvSpPr>
        <xdr:cNvPr id="947" name="Isosceles Triangle 946">
          <a:extLst>
            <a:ext uri="{FF2B5EF4-FFF2-40B4-BE49-F238E27FC236}">
              <a16:creationId xmlns:a16="http://schemas.microsoft.com/office/drawing/2014/main" id="{501D03C4-4652-4363-90DD-1570B45B9EB8}"/>
            </a:ext>
          </a:extLst>
        </xdr:cNvPr>
        <xdr:cNvSpPr/>
      </xdr:nvSpPr>
      <xdr:spPr>
        <a:xfrm rot="10800000">
          <a:off x="14250388" y="53470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101</xdr:row>
      <xdr:rowOff>196272</xdr:rowOff>
    </xdr:from>
    <xdr:to>
      <xdr:col>8</xdr:col>
      <xdr:colOff>2320636</xdr:colOff>
      <xdr:row>101</xdr:row>
      <xdr:rowOff>346363</xdr:rowOff>
    </xdr:to>
    <xdr:sp macro="" textlink="">
      <xdr:nvSpPr>
        <xdr:cNvPr id="948" name="Isosceles Triangle 947">
          <a:extLst>
            <a:ext uri="{FF2B5EF4-FFF2-40B4-BE49-F238E27FC236}">
              <a16:creationId xmlns:a16="http://schemas.microsoft.com/office/drawing/2014/main" id="{65E73FF8-87D2-4D8F-9460-62141E56E242}"/>
            </a:ext>
          </a:extLst>
        </xdr:cNvPr>
        <xdr:cNvSpPr/>
      </xdr:nvSpPr>
      <xdr:spPr>
        <a:xfrm rot="10800000">
          <a:off x="10788731" y="56932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101</xdr:row>
      <xdr:rowOff>196272</xdr:rowOff>
    </xdr:from>
    <xdr:to>
      <xdr:col>10</xdr:col>
      <xdr:colOff>2320636</xdr:colOff>
      <xdr:row>101</xdr:row>
      <xdr:rowOff>346363</xdr:rowOff>
    </xdr:to>
    <xdr:sp macro="" textlink="">
      <xdr:nvSpPr>
        <xdr:cNvPr id="949" name="Isosceles Triangle 948">
          <a:extLst>
            <a:ext uri="{FF2B5EF4-FFF2-40B4-BE49-F238E27FC236}">
              <a16:creationId xmlns:a16="http://schemas.microsoft.com/office/drawing/2014/main" id="{942E3335-CBEC-4C2F-812B-1EB0C83D135E}"/>
            </a:ext>
          </a:extLst>
        </xdr:cNvPr>
        <xdr:cNvSpPr/>
      </xdr:nvSpPr>
      <xdr:spPr>
        <a:xfrm rot="10800000">
          <a:off x="14250388" y="56932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101</xdr:row>
      <xdr:rowOff>196272</xdr:rowOff>
    </xdr:from>
    <xdr:to>
      <xdr:col>10</xdr:col>
      <xdr:colOff>2320636</xdr:colOff>
      <xdr:row>101</xdr:row>
      <xdr:rowOff>346363</xdr:rowOff>
    </xdr:to>
    <xdr:sp macro="" textlink="">
      <xdr:nvSpPr>
        <xdr:cNvPr id="950" name="Isosceles Triangle 949">
          <a:extLst>
            <a:ext uri="{FF2B5EF4-FFF2-40B4-BE49-F238E27FC236}">
              <a16:creationId xmlns:a16="http://schemas.microsoft.com/office/drawing/2014/main" id="{3C6D9CBE-7FBD-4A29-B1E4-3E7306BD1B6F}"/>
            </a:ext>
          </a:extLst>
        </xdr:cNvPr>
        <xdr:cNvSpPr/>
      </xdr:nvSpPr>
      <xdr:spPr>
        <a:xfrm rot="10800000">
          <a:off x="14250388" y="56932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101</xdr:row>
      <xdr:rowOff>196272</xdr:rowOff>
    </xdr:from>
    <xdr:to>
      <xdr:col>10</xdr:col>
      <xdr:colOff>2320636</xdr:colOff>
      <xdr:row>101</xdr:row>
      <xdr:rowOff>346363</xdr:rowOff>
    </xdr:to>
    <xdr:sp macro="" textlink="">
      <xdr:nvSpPr>
        <xdr:cNvPr id="951" name="Isosceles Triangle 950">
          <a:extLst>
            <a:ext uri="{FF2B5EF4-FFF2-40B4-BE49-F238E27FC236}">
              <a16:creationId xmlns:a16="http://schemas.microsoft.com/office/drawing/2014/main" id="{8E40F55E-CC6A-4E48-94DE-8EC7EF3F6F1B}"/>
            </a:ext>
          </a:extLst>
        </xdr:cNvPr>
        <xdr:cNvSpPr/>
      </xdr:nvSpPr>
      <xdr:spPr>
        <a:xfrm rot="10800000">
          <a:off x="14250388" y="56932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101</xdr:row>
      <xdr:rowOff>196272</xdr:rowOff>
    </xdr:from>
    <xdr:to>
      <xdr:col>10</xdr:col>
      <xdr:colOff>2320636</xdr:colOff>
      <xdr:row>101</xdr:row>
      <xdr:rowOff>346363</xdr:rowOff>
    </xdr:to>
    <xdr:sp macro="" textlink="">
      <xdr:nvSpPr>
        <xdr:cNvPr id="952" name="Isosceles Triangle 951">
          <a:extLst>
            <a:ext uri="{FF2B5EF4-FFF2-40B4-BE49-F238E27FC236}">
              <a16:creationId xmlns:a16="http://schemas.microsoft.com/office/drawing/2014/main" id="{D0820D04-EB19-4669-9702-F7D18F3E6C70}"/>
            </a:ext>
          </a:extLst>
        </xdr:cNvPr>
        <xdr:cNvSpPr/>
      </xdr:nvSpPr>
      <xdr:spPr>
        <a:xfrm rot="10800000">
          <a:off x="14250388" y="56932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101</xdr:row>
      <xdr:rowOff>196272</xdr:rowOff>
    </xdr:from>
    <xdr:to>
      <xdr:col>10</xdr:col>
      <xdr:colOff>2320636</xdr:colOff>
      <xdr:row>101</xdr:row>
      <xdr:rowOff>346363</xdr:rowOff>
    </xdr:to>
    <xdr:sp macro="" textlink="">
      <xdr:nvSpPr>
        <xdr:cNvPr id="953" name="Isosceles Triangle 952">
          <a:extLst>
            <a:ext uri="{FF2B5EF4-FFF2-40B4-BE49-F238E27FC236}">
              <a16:creationId xmlns:a16="http://schemas.microsoft.com/office/drawing/2014/main" id="{6D91591E-5B7B-453C-A3DE-47D2C76FC9E8}"/>
            </a:ext>
          </a:extLst>
        </xdr:cNvPr>
        <xdr:cNvSpPr/>
      </xdr:nvSpPr>
      <xdr:spPr>
        <a:xfrm rot="10800000">
          <a:off x="14250388" y="56932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101</xdr:row>
      <xdr:rowOff>196272</xdr:rowOff>
    </xdr:from>
    <xdr:to>
      <xdr:col>10</xdr:col>
      <xdr:colOff>2320636</xdr:colOff>
      <xdr:row>101</xdr:row>
      <xdr:rowOff>346363</xdr:rowOff>
    </xdr:to>
    <xdr:sp macro="" textlink="">
      <xdr:nvSpPr>
        <xdr:cNvPr id="954" name="Isosceles Triangle 953">
          <a:extLst>
            <a:ext uri="{FF2B5EF4-FFF2-40B4-BE49-F238E27FC236}">
              <a16:creationId xmlns:a16="http://schemas.microsoft.com/office/drawing/2014/main" id="{7F53CE82-3735-4896-9835-FB08DB22D6CF}"/>
            </a:ext>
          </a:extLst>
        </xdr:cNvPr>
        <xdr:cNvSpPr/>
      </xdr:nvSpPr>
      <xdr:spPr>
        <a:xfrm rot="10800000">
          <a:off x="14250388" y="56932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101</xdr:row>
      <xdr:rowOff>196272</xdr:rowOff>
    </xdr:from>
    <xdr:to>
      <xdr:col>10</xdr:col>
      <xdr:colOff>2320636</xdr:colOff>
      <xdr:row>101</xdr:row>
      <xdr:rowOff>346363</xdr:rowOff>
    </xdr:to>
    <xdr:sp macro="" textlink="">
      <xdr:nvSpPr>
        <xdr:cNvPr id="955" name="Isosceles Triangle 954">
          <a:extLst>
            <a:ext uri="{FF2B5EF4-FFF2-40B4-BE49-F238E27FC236}">
              <a16:creationId xmlns:a16="http://schemas.microsoft.com/office/drawing/2014/main" id="{FD4E4C4E-9005-4D32-939F-F98F45351221}"/>
            </a:ext>
          </a:extLst>
        </xdr:cNvPr>
        <xdr:cNvSpPr/>
      </xdr:nvSpPr>
      <xdr:spPr>
        <a:xfrm rot="10800000">
          <a:off x="14250388" y="569326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107</xdr:row>
      <xdr:rowOff>196272</xdr:rowOff>
    </xdr:from>
    <xdr:to>
      <xdr:col>8</xdr:col>
      <xdr:colOff>2320636</xdr:colOff>
      <xdr:row>107</xdr:row>
      <xdr:rowOff>346363</xdr:rowOff>
    </xdr:to>
    <xdr:sp macro="" textlink="">
      <xdr:nvSpPr>
        <xdr:cNvPr id="956" name="Isosceles Triangle 955">
          <a:extLst>
            <a:ext uri="{FF2B5EF4-FFF2-40B4-BE49-F238E27FC236}">
              <a16:creationId xmlns:a16="http://schemas.microsoft.com/office/drawing/2014/main" id="{E0EB0899-7D0E-4D58-B50B-49981AF697CA}"/>
            </a:ext>
          </a:extLst>
        </xdr:cNvPr>
        <xdr:cNvSpPr/>
      </xdr:nvSpPr>
      <xdr:spPr>
        <a:xfrm rot="10800000">
          <a:off x="10788731" y="6039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107</xdr:row>
      <xdr:rowOff>196272</xdr:rowOff>
    </xdr:from>
    <xdr:to>
      <xdr:col>10</xdr:col>
      <xdr:colOff>2320636</xdr:colOff>
      <xdr:row>107</xdr:row>
      <xdr:rowOff>346363</xdr:rowOff>
    </xdr:to>
    <xdr:sp macro="" textlink="">
      <xdr:nvSpPr>
        <xdr:cNvPr id="957" name="Isosceles Triangle 956">
          <a:extLst>
            <a:ext uri="{FF2B5EF4-FFF2-40B4-BE49-F238E27FC236}">
              <a16:creationId xmlns:a16="http://schemas.microsoft.com/office/drawing/2014/main" id="{EF02CD2D-FAB6-4F52-AADE-A2703C03C2AF}"/>
            </a:ext>
          </a:extLst>
        </xdr:cNvPr>
        <xdr:cNvSpPr/>
      </xdr:nvSpPr>
      <xdr:spPr>
        <a:xfrm rot="10800000">
          <a:off x="14250388" y="6039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125</xdr:row>
      <xdr:rowOff>196272</xdr:rowOff>
    </xdr:from>
    <xdr:to>
      <xdr:col>8</xdr:col>
      <xdr:colOff>2320636</xdr:colOff>
      <xdr:row>125</xdr:row>
      <xdr:rowOff>346363</xdr:rowOff>
    </xdr:to>
    <xdr:sp macro="" textlink="">
      <xdr:nvSpPr>
        <xdr:cNvPr id="958" name="Isosceles Triangle 957">
          <a:extLst>
            <a:ext uri="{FF2B5EF4-FFF2-40B4-BE49-F238E27FC236}">
              <a16:creationId xmlns:a16="http://schemas.microsoft.com/office/drawing/2014/main" id="{06BE7460-BA39-4712-BBD0-4C156B17785E}"/>
            </a:ext>
          </a:extLst>
        </xdr:cNvPr>
        <xdr:cNvSpPr/>
      </xdr:nvSpPr>
      <xdr:spPr>
        <a:xfrm rot="10800000">
          <a:off x="10788731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59" name="Isosceles Triangle 958">
          <a:extLst>
            <a:ext uri="{FF2B5EF4-FFF2-40B4-BE49-F238E27FC236}">
              <a16:creationId xmlns:a16="http://schemas.microsoft.com/office/drawing/2014/main" id="{7B65C70A-C75A-4235-9434-5C29C782B683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60" name="Isosceles Triangle 959">
          <a:extLst>
            <a:ext uri="{FF2B5EF4-FFF2-40B4-BE49-F238E27FC236}">
              <a16:creationId xmlns:a16="http://schemas.microsoft.com/office/drawing/2014/main" id="{3B98A26E-02D6-4DDF-A3FD-C2D1A600E991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61" name="Isosceles Triangle 960">
          <a:extLst>
            <a:ext uri="{FF2B5EF4-FFF2-40B4-BE49-F238E27FC236}">
              <a16:creationId xmlns:a16="http://schemas.microsoft.com/office/drawing/2014/main" id="{ADFFADA9-6C32-41BA-88B5-CADB589447CE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62" name="Isosceles Triangle 961">
          <a:extLst>
            <a:ext uri="{FF2B5EF4-FFF2-40B4-BE49-F238E27FC236}">
              <a16:creationId xmlns:a16="http://schemas.microsoft.com/office/drawing/2014/main" id="{696D257A-B704-4505-A107-5013D40BFD3F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63" name="Isosceles Triangle 962">
          <a:extLst>
            <a:ext uri="{FF2B5EF4-FFF2-40B4-BE49-F238E27FC236}">
              <a16:creationId xmlns:a16="http://schemas.microsoft.com/office/drawing/2014/main" id="{F1F86C3F-FC23-4BA3-89DF-683825237BF8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64" name="Isosceles Triangle 963">
          <a:extLst>
            <a:ext uri="{FF2B5EF4-FFF2-40B4-BE49-F238E27FC236}">
              <a16:creationId xmlns:a16="http://schemas.microsoft.com/office/drawing/2014/main" id="{38AECE5F-E806-4B13-B7A4-BF8AFC256358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125</xdr:row>
      <xdr:rowOff>196272</xdr:rowOff>
    </xdr:from>
    <xdr:to>
      <xdr:col>8</xdr:col>
      <xdr:colOff>2320636</xdr:colOff>
      <xdr:row>125</xdr:row>
      <xdr:rowOff>346363</xdr:rowOff>
    </xdr:to>
    <xdr:sp macro="" textlink="">
      <xdr:nvSpPr>
        <xdr:cNvPr id="965" name="Isosceles Triangle 964">
          <a:extLst>
            <a:ext uri="{FF2B5EF4-FFF2-40B4-BE49-F238E27FC236}">
              <a16:creationId xmlns:a16="http://schemas.microsoft.com/office/drawing/2014/main" id="{71E8B320-B231-41D0-9864-9884AF173C7B}"/>
            </a:ext>
          </a:extLst>
        </xdr:cNvPr>
        <xdr:cNvSpPr/>
      </xdr:nvSpPr>
      <xdr:spPr>
        <a:xfrm rot="10800000">
          <a:off x="10788731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66" name="Isosceles Triangle 965">
          <a:extLst>
            <a:ext uri="{FF2B5EF4-FFF2-40B4-BE49-F238E27FC236}">
              <a16:creationId xmlns:a16="http://schemas.microsoft.com/office/drawing/2014/main" id="{BF8A0C1F-D8A1-4F77-8F0B-A682524222FA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67" name="Isosceles Triangle 966">
          <a:extLst>
            <a:ext uri="{FF2B5EF4-FFF2-40B4-BE49-F238E27FC236}">
              <a16:creationId xmlns:a16="http://schemas.microsoft.com/office/drawing/2014/main" id="{3B2015F9-E379-43E8-A05B-1190788E6C7E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68" name="Isosceles Triangle 967">
          <a:extLst>
            <a:ext uri="{FF2B5EF4-FFF2-40B4-BE49-F238E27FC236}">
              <a16:creationId xmlns:a16="http://schemas.microsoft.com/office/drawing/2014/main" id="{0DE8DB21-DFD6-4130-A674-D6109AA1F56D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69" name="Isosceles Triangle 968">
          <a:extLst>
            <a:ext uri="{FF2B5EF4-FFF2-40B4-BE49-F238E27FC236}">
              <a16:creationId xmlns:a16="http://schemas.microsoft.com/office/drawing/2014/main" id="{41BCC747-E46B-4F79-A1D3-FE308BD4C623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70" name="Isosceles Triangle 969">
          <a:extLst>
            <a:ext uri="{FF2B5EF4-FFF2-40B4-BE49-F238E27FC236}">
              <a16:creationId xmlns:a16="http://schemas.microsoft.com/office/drawing/2014/main" id="{87A435D0-65F1-47C0-BFA8-D673EC1C0A82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971" name="Isosceles Triangle 970">
          <a:extLst>
            <a:ext uri="{FF2B5EF4-FFF2-40B4-BE49-F238E27FC236}">
              <a16:creationId xmlns:a16="http://schemas.microsoft.com/office/drawing/2014/main" id="{70847996-1CF1-42EA-B375-D7CE629F8DA8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137</xdr:row>
      <xdr:rowOff>196272</xdr:rowOff>
    </xdr:from>
    <xdr:to>
      <xdr:col>8</xdr:col>
      <xdr:colOff>2320636</xdr:colOff>
      <xdr:row>137</xdr:row>
      <xdr:rowOff>346363</xdr:rowOff>
    </xdr:to>
    <xdr:sp macro="" textlink="">
      <xdr:nvSpPr>
        <xdr:cNvPr id="972" name="Isosceles Triangle 971">
          <a:extLst>
            <a:ext uri="{FF2B5EF4-FFF2-40B4-BE49-F238E27FC236}">
              <a16:creationId xmlns:a16="http://schemas.microsoft.com/office/drawing/2014/main" id="{1C658949-2015-43F5-9BB9-47B425160599}"/>
            </a:ext>
          </a:extLst>
        </xdr:cNvPr>
        <xdr:cNvSpPr/>
      </xdr:nvSpPr>
      <xdr:spPr>
        <a:xfrm rot="10800000">
          <a:off x="10788731" y="77778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137</xdr:row>
      <xdr:rowOff>196272</xdr:rowOff>
    </xdr:from>
    <xdr:to>
      <xdr:col>10</xdr:col>
      <xdr:colOff>2320636</xdr:colOff>
      <xdr:row>137</xdr:row>
      <xdr:rowOff>346363</xdr:rowOff>
    </xdr:to>
    <xdr:sp macro="" textlink="">
      <xdr:nvSpPr>
        <xdr:cNvPr id="973" name="Isosceles Triangle 972">
          <a:extLst>
            <a:ext uri="{FF2B5EF4-FFF2-40B4-BE49-F238E27FC236}">
              <a16:creationId xmlns:a16="http://schemas.microsoft.com/office/drawing/2014/main" id="{78FA2EAF-BE7F-48FD-A4DC-ECE9D481C855}"/>
            </a:ext>
          </a:extLst>
        </xdr:cNvPr>
        <xdr:cNvSpPr/>
      </xdr:nvSpPr>
      <xdr:spPr>
        <a:xfrm rot="10800000">
          <a:off x="14250388" y="77778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137</xdr:row>
      <xdr:rowOff>196272</xdr:rowOff>
    </xdr:from>
    <xdr:to>
      <xdr:col>10</xdr:col>
      <xdr:colOff>2320636</xdr:colOff>
      <xdr:row>137</xdr:row>
      <xdr:rowOff>346363</xdr:rowOff>
    </xdr:to>
    <xdr:sp macro="" textlink="">
      <xdr:nvSpPr>
        <xdr:cNvPr id="974" name="Isosceles Triangle 973">
          <a:extLst>
            <a:ext uri="{FF2B5EF4-FFF2-40B4-BE49-F238E27FC236}">
              <a16:creationId xmlns:a16="http://schemas.microsoft.com/office/drawing/2014/main" id="{2EA6B0E7-393F-41F2-981B-A76E310028A4}"/>
            </a:ext>
          </a:extLst>
        </xdr:cNvPr>
        <xdr:cNvSpPr/>
      </xdr:nvSpPr>
      <xdr:spPr>
        <a:xfrm rot="10800000">
          <a:off x="14250388" y="77778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137</xdr:row>
      <xdr:rowOff>196272</xdr:rowOff>
    </xdr:from>
    <xdr:to>
      <xdr:col>10</xdr:col>
      <xdr:colOff>2320636</xdr:colOff>
      <xdr:row>137</xdr:row>
      <xdr:rowOff>346363</xdr:rowOff>
    </xdr:to>
    <xdr:sp macro="" textlink="">
      <xdr:nvSpPr>
        <xdr:cNvPr id="975" name="Isosceles Triangle 974">
          <a:extLst>
            <a:ext uri="{FF2B5EF4-FFF2-40B4-BE49-F238E27FC236}">
              <a16:creationId xmlns:a16="http://schemas.microsoft.com/office/drawing/2014/main" id="{071CFF5D-6597-4DC3-88AD-489D105B87E9}"/>
            </a:ext>
          </a:extLst>
        </xdr:cNvPr>
        <xdr:cNvSpPr/>
      </xdr:nvSpPr>
      <xdr:spPr>
        <a:xfrm rot="10800000">
          <a:off x="14250388" y="77778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137</xdr:row>
      <xdr:rowOff>196272</xdr:rowOff>
    </xdr:from>
    <xdr:to>
      <xdr:col>10</xdr:col>
      <xdr:colOff>2320636</xdr:colOff>
      <xdr:row>137</xdr:row>
      <xdr:rowOff>346363</xdr:rowOff>
    </xdr:to>
    <xdr:sp macro="" textlink="">
      <xdr:nvSpPr>
        <xdr:cNvPr id="976" name="Isosceles Triangle 975">
          <a:extLst>
            <a:ext uri="{FF2B5EF4-FFF2-40B4-BE49-F238E27FC236}">
              <a16:creationId xmlns:a16="http://schemas.microsoft.com/office/drawing/2014/main" id="{0BD2D05E-6E2F-45BB-94A5-1578E489E8FC}"/>
            </a:ext>
          </a:extLst>
        </xdr:cNvPr>
        <xdr:cNvSpPr/>
      </xdr:nvSpPr>
      <xdr:spPr>
        <a:xfrm rot="10800000">
          <a:off x="14250388" y="77778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137</xdr:row>
      <xdr:rowOff>196272</xdr:rowOff>
    </xdr:from>
    <xdr:to>
      <xdr:col>10</xdr:col>
      <xdr:colOff>2320636</xdr:colOff>
      <xdr:row>137</xdr:row>
      <xdr:rowOff>346363</xdr:rowOff>
    </xdr:to>
    <xdr:sp macro="" textlink="">
      <xdr:nvSpPr>
        <xdr:cNvPr id="977" name="Isosceles Triangle 976">
          <a:extLst>
            <a:ext uri="{FF2B5EF4-FFF2-40B4-BE49-F238E27FC236}">
              <a16:creationId xmlns:a16="http://schemas.microsoft.com/office/drawing/2014/main" id="{9508C1F6-E8A0-4C9C-8D2A-F4BE34EAA652}"/>
            </a:ext>
          </a:extLst>
        </xdr:cNvPr>
        <xdr:cNvSpPr/>
      </xdr:nvSpPr>
      <xdr:spPr>
        <a:xfrm rot="10800000">
          <a:off x="14250388" y="77778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137</xdr:row>
      <xdr:rowOff>196272</xdr:rowOff>
    </xdr:from>
    <xdr:to>
      <xdr:col>10</xdr:col>
      <xdr:colOff>2320636</xdr:colOff>
      <xdr:row>137</xdr:row>
      <xdr:rowOff>346363</xdr:rowOff>
    </xdr:to>
    <xdr:sp macro="" textlink="">
      <xdr:nvSpPr>
        <xdr:cNvPr id="978" name="Isosceles Triangle 977">
          <a:extLst>
            <a:ext uri="{FF2B5EF4-FFF2-40B4-BE49-F238E27FC236}">
              <a16:creationId xmlns:a16="http://schemas.microsoft.com/office/drawing/2014/main" id="{BCAC0CE4-0E63-49D4-8560-10E8048B86D8}"/>
            </a:ext>
          </a:extLst>
        </xdr:cNvPr>
        <xdr:cNvSpPr/>
      </xdr:nvSpPr>
      <xdr:spPr>
        <a:xfrm rot="10800000">
          <a:off x="14250388" y="77778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137</xdr:row>
      <xdr:rowOff>196272</xdr:rowOff>
    </xdr:from>
    <xdr:to>
      <xdr:col>10</xdr:col>
      <xdr:colOff>2320636</xdr:colOff>
      <xdr:row>137</xdr:row>
      <xdr:rowOff>346363</xdr:rowOff>
    </xdr:to>
    <xdr:sp macro="" textlink="">
      <xdr:nvSpPr>
        <xdr:cNvPr id="979" name="Isosceles Triangle 978">
          <a:extLst>
            <a:ext uri="{FF2B5EF4-FFF2-40B4-BE49-F238E27FC236}">
              <a16:creationId xmlns:a16="http://schemas.microsoft.com/office/drawing/2014/main" id="{7D4DB820-2CA5-4C5D-AD07-F8DF89003EF0}"/>
            </a:ext>
          </a:extLst>
        </xdr:cNvPr>
        <xdr:cNvSpPr/>
      </xdr:nvSpPr>
      <xdr:spPr>
        <a:xfrm rot="10800000">
          <a:off x="14250388" y="77778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137</xdr:row>
      <xdr:rowOff>196272</xdr:rowOff>
    </xdr:from>
    <xdr:to>
      <xdr:col>10</xdr:col>
      <xdr:colOff>2320636</xdr:colOff>
      <xdr:row>137</xdr:row>
      <xdr:rowOff>346363</xdr:rowOff>
    </xdr:to>
    <xdr:sp macro="" textlink="">
      <xdr:nvSpPr>
        <xdr:cNvPr id="980" name="Isosceles Triangle 979">
          <a:extLst>
            <a:ext uri="{FF2B5EF4-FFF2-40B4-BE49-F238E27FC236}">
              <a16:creationId xmlns:a16="http://schemas.microsoft.com/office/drawing/2014/main" id="{4B368BE5-07D8-4854-9269-962EDB5F8F2B}"/>
            </a:ext>
          </a:extLst>
        </xdr:cNvPr>
        <xdr:cNvSpPr/>
      </xdr:nvSpPr>
      <xdr:spPr>
        <a:xfrm rot="10800000">
          <a:off x="14250388" y="77778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143</xdr:row>
      <xdr:rowOff>196272</xdr:rowOff>
    </xdr:from>
    <xdr:to>
      <xdr:col>8</xdr:col>
      <xdr:colOff>2320636</xdr:colOff>
      <xdr:row>143</xdr:row>
      <xdr:rowOff>346363</xdr:rowOff>
    </xdr:to>
    <xdr:sp macro="" textlink="">
      <xdr:nvSpPr>
        <xdr:cNvPr id="981" name="Isosceles Triangle 980">
          <a:extLst>
            <a:ext uri="{FF2B5EF4-FFF2-40B4-BE49-F238E27FC236}">
              <a16:creationId xmlns:a16="http://schemas.microsoft.com/office/drawing/2014/main" id="{DD75974B-97B4-4F03-93A4-47CB1856A41E}"/>
            </a:ext>
          </a:extLst>
        </xdr:cNvPr>
        <xdr:cNvSpPr/>
      </xdr:nvSpPr>
      <xdr:spPr>
        <a:xfrm rot="10800000">
          <a:off x="10788731" y="81240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143</xdr:row>
      <xdr:rowOff>196272</xdr:rowOff>
    </xdr:from>
    <xdr:to>
      <xdr:col>10</xdr:col>
      <xdr:colOff>2320636</xdr:colOff>
      <xdr:row>143</xdr:row>
      <xdr:rowOff>346363</xdr:rowOff>
    </xdr:to>
    <xdr:sp macro="" textlink="">
      <xdr:nvSpPr>
        <xdr:cNvPr id="982" name="Isosceles Triangle 981">
          <a:extLst>
            <a:ext uri="{FF2B5EF4-FFF2-40B4-BE49-F238E27FC236}">
              <a16:creationId xmlns:a16="http://schemas.microsoft.com/office/drawing/2014/main" id="{2978CA09-5C51-4BC7-9930-E161A543377D}"/>
            </a:ext>
          </a:extLst>
        </xdr:cNvPr>
        <xdr:cNvSpPr/>
      </xdr:nvSpPr>
      <xdr:spPr>
        <a:xfrm rot="10800000">
          <a:off x="14250388" y="81240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141</xdr:row>
      <xdr:rowOff>196272</xdr:rowOff>
    </xdr:from>
    <xdr:to>
      <xdr:col>8</xdr:col>
      <xdr:colOff>2320636</xdr:colOff>
      <xdr:row>141</xdr:row>
      <xdr:rowOff>346363</xdr:rowOff>
    </xdr:to>
    <xdr:sp macro="" textlink="">
      <xdr:nvSpPr>
        <xdr:cNvPr id="983" name="Isosceles Triangle 982">
          <a:extLst>
            <a:ext uri="{FF2B5EF4-FFF2-40B4-BE49-F238E27FC236}">
              <a16:creationId xmlns:a16="http://schemas.microsoft.com/office/drawing/2014/main" id="{A3F6B5A4-2431-46EA-A287-157731FC44CE}"/>
            </a:ext>
          </a:extLst>
        </xdr:cNvPr>
        <xdr:cNvSpPr/>
      </xdr:nvSpPr>
      <xdr:spPr>
        <a:xfrm rot="10800000">
          <a:off x="10788731" y="8008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141</xdr:row>
      <xdr:rowOff>196272</xdr:rowOff>
    </xdr:from>
    <xdr:to>
      <xdr:col>10</xdr:col>
      <xdr:colOff>2320636</xdr:colOff>
      <xdr:row>141</xdr:row>
      <xdr:rowOff>346363</xdr:rowOff>
    </xdr:to>
    <xdr:sp macro="" textlink="">
      <xdr:nvSpPr>
        <xdr:cNvPr id="984" name="Isosceles Triangle 983">
          <a:extLst>
            <a:ext uri="{FF2B5EF4-FFF2-40B4-BE49-F238E27FC236}">
              <a16:creationId xmlns:a16="http://schemas.microsoft.com/office/drawing/2014/main" id="{EFEAE2A6-3E8E-4161-B348-2C3577C45A74}"/>
            </a:ext>
          </a:extLst>
        </xdr:cNvPr>
        <xdr:cNvSpPr/>
      </xdr:nvSpPr>
      <xdr:spPr>
        <a:xfrm rot="10800000">
          <a:off x="14250388" y="800865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143</xdr:row>
      <xdr:rowOff>196272</xdr:rowOff>
    </xdr:from>
    <xdr:to>
      <xdr:col>10</xdr:col>
      <xdr:colOff>2320636</xdr:colOff>
      <xdr:row>143</xdr:row>
      <xdr:rowOff>346363</xdr:rowOff>
    </xdr:to>
    <xdr:sp macro="" textlink="">
      <xdr:nvSpPr>
        <xdr:cNvPr id="985" name="Isosceles Triangle 984">
          <a:extLst>
            <a:ext uri="{FF2B5EF4-FFF2-40B4-BE49-F238E27FC236}">
              <a16:creationId xmlns:a16="http://schemas.microsoft.com/office/drawing/2014/main" id="{B0B65226-05C3-4EE0-9F61-06F1485082F4}"/>
            </a:ext>
          </a:extLst>
        </xdr:cNvPr>
        <xdr:cNvSpPr/>
      </xdr:nvSpPr>
      <xdr:spPr>
        <a:xfrm rot="10800000">
          <a:off x="14250388" y="81240415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148</xdr:row>
      <xdr:rowOff>196272</xdr:rowOff>
    </xdr:from>
    <xdr:to>
      <xdr:col>8</xdr:col>
      <xdr:colOff>2320636</xdr:colOff>
      <xdr:row>148</xdr:row>
      <xdr:rowOff>346363</xdr:rowOff>
    </xdr:to>
    <xdr:sp macro="" textlink="">
      <xdr:nvSpPr>
        <xdr:cNvPr id="986" name="Isosceles Triangle 985">
          <a:extLst>
            <a:ext uri="{FF2B5EF4-FFF2-40B4-BE49-F238E27FC236}">
              <a16:creationId xmlns:a16="http://schemas.microsoft.com/office/drawing/2014/main" id="{EE5E4DDD-10DB-44A3-B0BE-B35090A13BA6}"/>
            </a:ext>
          </a:extLst>
        </xdr:cNvPr>
        <xdr:cNvSpPr/>
      </xdr:nvSpPr>
      <xdr:spPr>
        <a:xfrm rot="10800000">
          <a:off x="10788731" y="84125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148</xdr:row>
      <xdr:rowOff>196272</xdr:rowOff>
    </xdr:from>
    <xdr:to>
      <xdr:col>10</xdr:col>
      <xdr:colOff>2320636</xdr:colOff>
      <xdr:row>148</xdr:row>
      <xdr:rowOff>346363</xdr:rowOff>
    </xdr:to>
    <xdr:sp macro="" textlink="">
      <xdr:nvSpPr>
        <xdr:cNvPr id="987" name="Isosceles Triangle 986">
          <a:extLst>
            <a:ext uri="{FF2B5EF4-FFF2-40B4-BE49-F238E27FC236}">
              <a16:creationId xmlns:a16="http://schemas.microsoft.com/office/drawing/2014/main" id="{2D5FAC10-B4F5-40E8-B2C0-668E5266FF11}"/>
            </a:ext>
          </a:extLst>
        </xdr:cNvPr>
        <xdr:cNvSpPr/>
      </xdr:nvSpPr>
      <xdr:spPr>
        <a:xfrm rot="10800000">
          <a:off x="14250388" y="84125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148</xdr:row>
      <xdr:rowOff>196272</xdr:rowOff>
    </xdr:from>
    <xdr:to>
      <xdr:col>8</xdr:col>
      <xdr:colOff>2320636</xdr:colOff>
      <xdr:row>148</xdr:row>
      <xdr:rowOff>346363</xdr:rowOff>
    </xdr:to>
    <xdr:sp macro="" textlink="">
      <xdr:nvSpPr>
        <xdr:cNvPr id="988" name="Isosceles Triangle 987">
          <a:extLst>
            <a:ext uri="{FF2B5EF4-FFF2-40B4-BE49-F238E27FC236}">
              <a16:creationId xmlns:a16="http://schemas.microsoft.com/office/drawing/2014/main" id="{B64A440D-8815-4522-8D90-A2D4EA83139E}"/>
            </a:ext>
          </a:extLst>
        </xdr:cNvPr>
        <xdr:cNvSpPr/>
      </xdr:nvSpPr>
      <xdr:spPr>
        <a:xfrm rot="10800000">
          <a:off x="10788731" y="84125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107</xdr:row>
      <xdr:rowOff>196272</xdr:rowOff>
    </xdr:from>
    <xdr:to>
      <xdr:col>8</xdr:col>
      <xdr:colOff>2320636</xdr:colOff>
      <xdr:row>107</xdr:row>
      <xdr:rowOff>346363</xdr:rowOff>
    </xdr:to>
    <xdr:sp macro="" textlink="">
      <xdr:nvSpPr>
        <xdr:cNvPr id="989" name="Isosceles Triangle 988">
          <a:extLst>
            <a:ext uri="{FF2B5EF4-FFF2-40B4-BE49-F238E27FC236}">
              <a16:creationId xmlns:a16="http://schemas.microsoft.com/office/drawing/2014/main" id="{0254094B-A09E-4D98-BD13-BA39E08EBB75}"/>
            </a:ext>
          </a:extLst>
        </xdr:cNvPr>
        <xdr:cNvSpPr/>
      </xdr:nvSpPr>
      <xdr:spPr>
        <a:xfrm rot="10800000">
          <a:off x="10788731" y="603942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71</xdr:row>
      <xdr:rowOff>196272</xdr:rowOff>
    </xdr:from>
    <xdr:to>
      <xdr:col>8</xdr:col>
      <xdr:colOff>2320636</xdr:colOff>
      <xdr:row>71</xdr:row>
      <xdr:rowOff>346363</xdr:rowOff>
    </xdr:to>
    <xdr:sp macro="" textlink="">
      <xdr:nvSpPr>
        <xdr:cNvPr id="990" name="Isosceles Triangle 989">
          <a:extLst>
            <a:ext uri="{FF2B5EF4-FFF2-40B4-BE49-F238E27FC236}">
              <a16:creationId xmlns:a16="http://schemas.microsoft.com/office/drawing/2014/main" id="{26D4CAE5-0B53-41A0-98C6-B0979F9A010B}"/>
            </a:ext>
          </a:extLst>
        </xdr:cNvPr>
        <xdr:cNvSpPr/>
      </xdr:nvSpPr>
      <xdr:spPr>
        <a:xfrm rot="10800000">
          <a:off x="10788731" y="396243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77</xdr:row>
      <xdr:rowOff>196272</xdr:rowOff>
    </xdr:from>
    <xdr:to>
      <xdr:col>8</xdr:col>
      <xdr:colOff>2320636</xdr:colOff>
      <xdr:row>77</xdr:row>
      <xdr:rowOff>346363</xdr:rowOff>
    </xdr:to>
    <xdr:sp macro="" textlink="">
      <xdr:nvSpPr>
        <xdr:cNvPr id="991" name="Isosceles Triangle 990">
          <a:extLst>
            <a:ext uri="{FF2B5EF4-FFF2-40B4-BE49-F238E27FC236}">
              <a16:creationId xmlns:a16="http://schemas.microsoft.com/office/drawing/2014/main" id="{3ACB52EF-DAC4-4FCC-94B6-E28B662D122A}"/>
            </a:ext>
          </a:extLst>
        </xdr:cNvPr>
        <xdr:cNvSpPr/>
      </xdr:nvSpPr>
      <xdr:spPr>
        <a:xfrm rot="10800000">
          <a:off x="10788731" y="43085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77</xdr:row>
      <xdr:rowOff>196272</xdr:rowOff>
    </xdr:from>
    <xdr:to>
      <xdr:col>10</xdr:col>
      <xdr:colOff>2320636</xdr:colOff>
      <xdr:row>77</xdr:row>
      <xdr:rowOff>346363</xdr:rowOff>
    </xdr:to>
    <xdr:sp macro="" textlink="">
      <xdr:nvSpPr>
        <xdr:cNvPr id="992" name="Isosceles Triangle 991">
          <a:extLst>
            <a:ext uri="{FF2B5EF4-FFF2-40B4-BE49-F238E27FC236}">
              <a16:creationId xmlns:a16="http://schemas.microsoft.com/office/drawing/2014/main" id="{B23CED86-FCE8-44F0-A4F7-93CA8E76F7C7}"/>
            </a:ext>
          </a:extLst>
        </xdr:cNvPr>
        <xdr:cNvSpPr/>
      </xdr:nvSpPr>
      <xdr:spPr>
        <a:xfrm rot="10800000">
          <a:off x="14250388" y="430859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35</xdr:row>
      <xdr:rowOff>196272</xdr:rowOff>
    </xdr:from>
    <xdr:to>
      <xdr:col>10</xdr:col>
      <xdr:colOff>2320636</xdr:colOff>
      <xdr:row>35</xdr:row>
      <xdr:rowOff>346363</xdr:rowOff>
    </xdr:to>
    <xdr:sp macro="" textlink="">
      <xdr:nvSpPr>
        <xdr:cNvPr id="993" name="Isosceles Triangle 992">
          <a:extLst>
            <a:ext uri="{FF2B5EF4-FFF2-40B4-BE49-F238E27FC236}">
              <a16:creationId xmlns:a16="http://schemas.microsoft.com/office/drawing/2014/main" id="{E046AEC9-15E3-4F80-BBC2-3E832520AD25}"/>
            </a:ext>
          </a:extLst>
        </xdr:cNvPr>
        <xdr:cNvSpPr/>
      </xdr:nvSpPr>
      <xdr:spPr>
        <a:xfrm rot="10800000">
          <a:off x="14250388" y="18778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35</xdr:row>
      <xdr:rowOff>196272</xdr:rowOff>
    </xdr:from>
    <xdr:to>
      <xdr:col>10</xdr:col>
      <xdr:colOff>2320636</xdr:colOff>
      <xdr:row>35</xdr:row>
      <xdr:rowOff>346363</xdr:rowOff>
    </xdr:to>
    <xdr:sp macro="" textlink="">
      <xdr:nvSpPr>
        <xdr:cNvPr id="994" name="Isosceles Triangle 993">
          <a:extLst>
            <a:ext uri="{FF2B5EF4-FFF2-40B4-BE49-F238E27FC236}">
              <a16:creationId xmlns:a16="http://schemas.microsoft.com/office/drawing/2014/main" id="{2B06A7D4-1430-46CA-9FD3-D3E09AF32F2E}"/>
            </a:ext>
          </a:extLst>
        </xdr:cNvPr>
        <xdr:cNvSpPr/>
      </xdr:nvSpPr>
      <xdr:spPr>
        <a:xfrm rot="10800000">
          <a:off x="14250388" y="18778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35</xdr:row>
      <xdr:rowOff>196272</xdr:rowOff>
    </xdr:from>
    <xdr:to>
      <xdr:col>10</xdr:col>
      <xdr:colOff>2320636</xdr:colOff>
      <xdr:row>35</xdr:row>
      <xdr:rowOff>346363</xdr:rowOff>
    </xdr:to>
    <xdr:sp macro="" textlink="">
      <xdr:nvSpPr>
        <xdr:cNvPr id="995" name="Isosceles Triangle 994">
          <a:extLst>
            <a:ext uri="{FF2B5EF4-FFF2-40B4-BE49-F238E27FC236}">
              <a16:creationId xmlns:a16="http://schemas.microsoft.com/office/drawing/2014/main" id="{454BC6EE-4A63-442B-A5B8-658697295F8F}"/>
            </a:ext>
          </a:extLst>
        </xdr:cNvPr>
        <xdr:cNvSpPr/>
      </xdr:nvSpPr>
      <xdr:spPr>
        <a:xfrm rot="10800000">
          <a:off x="14250388" y="18778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35</xdr:row>
      <xdr:rowOff>196272</xdr:rowOff>
    </xdr:from>
    <xdr:to>
      <xdr:col>10</xdr:col>
      <xdr:colOff>2320636</xdr:colOff>
      <xdr:row>35</xdr:row>
      <xdr:rowOff>346363</xdr:rowOff>
    </xdr:to>
    <xdr:sp macro="" textlink="">
      <xdr:nvSpPr>
        <xdr:cNvPr id="996" name="Isosceles Triangle 995">
          <a:extLst>
            <a:ext uri="{FF2B5EF4-FFF2-40B4-BE49-F238E27FC236}">
              <a16:creationId xmlns:a16="http://schemas.microsoft.com/office/drawing/2014/main" id="{250B2CF4-6CCA-4FC5-87C6-F75A187DA4D8}"/>
            </a:ext>
          </a:extLst>
        </xdr:cNvPr>
        <xdr:cNvSpPr/>
      </xdr:nvSpPr>
      <xdr:spPr>
        <a:xfrm rot="10800000">
          <a:off x="14250388" y="18778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35</xdr:row>
      <xdr:rowOff>196272</xdr:rowOff>
    </xdr:from>
    <xdr:to>
      <xdr:col>10</xdr:col>
      <xdr:colOff>2320636</xdr:colOff>
      <xdr:row>35</xdr:row>
      <xdr:rowOff>346363</xdr:rowOff>
    </xdr:to>
    <xdr:sp macro="" textlink="">
      <xdr:nvSpPr>
        <xdr:cNvPr id="997" name="Isosceles Triangle 996">
          <a:extLst>
            <a:ext uri="{FF2B5EF4-FFF2-40B4-BE49-F238E27FC236}">
              <a16:creationId xmlns:a16="http://schemas.microsoft.com/office/drawing/2014/main" id="{34EBBC46-9201-434C-A736-F4C69893320D}"/>
            </a:ext>
          </a:extLst>
        </xdr:cNvPr>
        <xdr:cNvSpPr/>
      </xdr:nvSpPr>
      <xdr:spPr>
        <a:xfrm rot="10800000">
          <a:off x="14250388" y="18778186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88</xdr:row>
      <xdr:rowOff>196272</xdr:rowOff>
    </xdr:from>
    <xdr:to>
      <xdr:col>10</xdr:col>
      <xdr:colOff>2320636</xdr:colOff>
      <xdr:row>88</xdr:row>
      <xdr:rowOff>346363</xdr:rowOff>
    </xdr:to>
    <xdr:sp macro="" textlink="">
      <xdr:nvSpPr>
        <xdr:cNvPr id="999" name="Isosceles Triangle 998">
          <a:extLst>
            <a:ext uri="{FF2B5EF4-FFF2-40B4-BE49-F238E27FC236}">
              <a16:creationId xmlns:a16="http://schemas.microsoft.com/office/drawing/2014/main" id="{C7D19AF4-59E0-4787-96D1-3A93B004AE78}"/>
            </a:ext>
          </a:extLst>
        </xdr:cNvPr>
        <xdr:cNvSpPr/>
      </xdr:nvSpPr>
      <xdr:spPr>
        <a:xfrm rot="10800000">
          <a:off x="14250388" y="49432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88</xdr:row>
      <xdr:rowOff>196272</xdr:rowOff>
    </xdr:from>
    <xdr:to>
      <xdr:col>10</xdr:col>
      <xdr:colOff>2320636</xdr:colOff>
      <xdr:row>88</xdr:row>
      <xdr:rowOff>346363</xdr:rowOff>
    </xdr:to>
    <xdr:sp macro="" textlink="">
      <xdr:nvSpPr>
        <xdr:cNvPr id="1000" name="Isosceles Triangle 999">
          <a:extLst>
            <a:ext uri="{FF2B5EF4-FFF2-40B4-BE49-F238E27FC236}">
              <a16:creationId xmlns:a16="http://schemas.microsoft.com/office/drawing/2014/main" id="{8333FBCD-93F9-4594-A5BA-DC628FC3FE68}"/>
            </a:ext>
          </a:extLst>
        </xdr:cNvPr>
        <xdr:cNvSpPr/>
      </xdr:nvSpPr>
      <xdr:spPr>
        <a:xfrm rot="10800000">
          <a:off x="14250388" y="49432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88</xdr:row>
      <xdr:rowOff>196272</xdr:rowOff>
    </xdr:from>
    <xdr:to>
      <xdr:col>10</xdr:col>
      <xdr:colOff>2320636</xdr:colOff>
      <xdr:row>88</xdr:row>
      <xdr:rowOff>346363</xdr:rowOff>
    </xdr:to>
    <xdr:sp macro="" textlink="">
      <xdr:nvSpPr>
        <xdr:cNvPr id="1001" name="Isosceles Triangle 1000">
          <a:extLst>
            <a:ext uri="{FF2B5EF4-FFF2-40B4-BE49-F238E27FC236}">
              <a16:creationId xmlns:a16="http://schemas.microsoft.com/office/drawing/2014/main" id="{C7ACF4A7-E2CA-4552-B48A-34F0CA17AE74}"/>
            </a:ext>
          </a:extLst>
        </xdr:cNvPr>
        <xdr:cNvSpPr/>
      </xdr:nvSpPr>
      <xdr:spPr>
        <a:xfrm rot="10800000">
          <a:off x="14250388" y="49432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88</xdr:row>
      <xdr:rowOff>196272</xdr:rowOff>
    </xdr:from>
    <xdr:to>
      <xdr:col>10</xdr:col>
      <xdr:colOff>2320636</xdr:colOff>
      <xdr:row>88</xdr:row>
      <xdr:rowOff>346363</xdr:rowOff>
    </xdr:to>
    <xdr:sp macro="" textlink="">
      <xdr:nvSpPr>
        <xdr:cNvPr id="1002" name="Isosceles Triangle 1001">
          <a:extLst>
            <a:ext uri="{FF2B5EF4-FFF2-40B4-BE49-F238E27FC236}">
              <a16:creationId xmlns:a16="http://schemas.microsoft.com/office/drawing/2014/main" id="{2AF85864-96CB-4182-9B0C-D54182F17CE9}"/>
            </a:ext>
          </a:extLst>
        </xdr:cNvPr>
        <xdr:cNvSpPr/>
      </xdr:nvSpPr>
      <xdr:spPr>
        <a:xfrm rot="10800000">
          <a:off x="14250388" y="49432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88</xdr:row>
      <xdr:rowOff>196272</xdr:rowOff>
    </xdr:from>
    <xdr:to>
      <xdr:col>10</xdr:col>
      <xdr:colOff>2320636</xdr:colOff>
      <xdr:row>88</xdr:row>
      <xdr:rowOff>346363</xdr:rowOff>
    </xdr:to>
    <xdr:sp macro="" textlink="">
      <xdr:nvSpPr>
        <xdr:cNvPr id="1003" name="Isosceles Triangle 1002">
          <a:extLst>
            <a:ext uri="{FF2B5EF4-FFF2-40B4-BE49-F238E27FC236}">
              <a16:creationId xmlns:a16="http://schemas.microsoft.com/office/drawing/2014/main" id="{37925F52-99C8-4BD6-8E91-BCA81D03C424}"/>
            </a:ext>
          </a:extLst>
        </xdr:cNvPr>
        <xdr:cNvSpPr/>
      </xdr:nvSpPr>
      <xdr:spPr>
        <a:xfrm rot="10800000">
          <a:off x="14250388" y="49432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88</xdr:row>
      <xdr:rowOff>196272</xdr:rowOff>
    </xdr:from>
    <xdr:to>
      <xdr:col>10</xdr:col>
      <xdr:colOff>2320636</xdr:colOff>
      <xdr:row>88</xdr:row>
      <xdr:rowOff>346363</xdr:rowOff>
    </xdr:to>
    <xdr:sp macro="" textlink="">
      <xdr:nvSpPr>
        <xdr:cNvPr id="1004" name="Isosceles Triangle 1003">
          <a:extLst>
            <a:ext uri="{FF2B5EF4-FFF2-40B4-BE49-F238E27FC236}">
              <a16:creationId xmlns:a16="http://schemas.microsoft.com/office/drawing/2014/main" id="{EB0B4745-A8C5-4F43-8539-6E453168A4F9}"/>
            </a:ext>
          </a:extLst>
        </xdr:cNvPr>
        <xdr:cNvSpPr/>
      </xdr:nvSpPr>
      <xdr:spPr>
        <a:xfrm rot="10800000">
          <a:off x="14250388" y="49432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88</xdr:row>
      <xdr:rowOff>196272</xdr:rowOff>
    </xdr:from>
    <xdr:to>
      <xdr:col>10</xdr:col>
      <xdr:colOff>2320636</xdr:colOff>
      <xdr:row>88</xdr:row>
      <xdr:rowOff>346363</xdr:rowOff>
    </xdr:to>
    <xdr:sp macro="" textlink="">
      <xdr:nvSpPr>
        <xdr:cNvPr id="1005" name="Isosceles Triangle 1004">
          <a:extLst>
            <a:ext uri="{FF2B5EF4-FFF2-40B4-BE49-F238E27FC236}">
              <a16:creationId xmlns:a16="http://schemas.microsoft.com/office/drawing/2014/main" id="{F7FB892A-B8FC-427B-B786-DFA30D01E162}"/>
            </a:ext>
          </a:extLst>
        </xdr:cNvPr>
        <xdr:cNvSpPr/>
      </xdr:nvSpPr>
      <xdr:spPr>
        <a:xfrm rot="10800000">
          <a:off x="14250388" y="494323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125</xdr:row>
      <xdr:rowOff>196272</xdr:rowOff>
    </xdr:from>
    <xdr:to>
      <xdr:col>8</xdr:col>
      <xdr:colOff>2320636</xdr:colOff>
      <xdr:row>125</xdr:row>
      <xdr:rowOff>346363</xdr:rowOff>
    </xdr:to>
    <xdr:sp macro="" textlink="">
      <xdr:nvSpPr>
        <xdr:cNvPr id="1006" name="Isosceles Triangle 1005">
          <a:extLst>
            <a:ext uri="{FF2B5EF4-FFF2-40B4-BE49-F238E27FC236}">
              <a16:creationId xmlns:a16="http://schemas.microsoft.com/office/drawing/2014/main" id="{0E966182-824B-41B8-9DA9-2F6C6FB58A27}"/>
            </a:ext>
          </a:extLst>
        </xdr:cNvPr>
        <xdr:cNvSpPr/>
      </xdr:nvSpPr>
      <xdr:spPr>
        <a:xfrm rot="10800000">
          <a:off x="10788731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1007" name="Isosceles Triangle 1006">
          <a:extLst>
            <a:ext uri="{FF2B5EF4-FFF2-40B4-BE49-F238E27FC236}">
              <a16:creationId xmlns:a16="http://schemas.microsoft.com/office/drawing/2014/main" id="{E1277745-44DD-440C-BB00-09FB1C4D250D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008" name="Isosceles Triangle 1007">
          <a:extLst>
            <a:ext uri="{FF2B5EF4-FFF2-40B4-BE49-F238E27FC236}">
              <a16:creationId xmlns:a16="http://schemas.microsoft.com/office/drawing/2014/main" id="{0CE653B4-41F6-4BB5-BDA4-4F397CC64435}"/>
            </a:ext>
          </a:extLst>
        </xdr:cNvPr>
        <xdr:cNvSpPr/>
      </xdr:nvSpPr>
      <xdr:spPr>
        <a:xfrm rot="10800000">
          <a:off x="14250388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009" name="Isosceles Triangle 1008">
          <a:extLst>
            <a:ext uri="{FF2B5EF4-FFF2-40B4-BE49-F238E27FC236}">
              <a16:creationId xmlns:a16="http://schemas.microsoft.com/office/drawing/2014/main" id="{3D7D4288-5C59-4A20-A736-761129BF98ED}"/>
            </a:ext>
          </a:extLst>
        </xdr:cNvPr>
        <xdr:cNvSpPr/>
      </xdr:nvSpPr>
      <xdr:spPr>
        <a:xfrm rot="10800000">
          <a:off x="14250388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010" name="Isosceles Triangle 1009">
          <a:extLst>
            <a:ext uri="{FF2B5EF4-FFF2-40B4-BE49-F238E27FC236}">
              <a16:creationId xmlns:a16="http://schemas.microsoft.com/office/drawing/2014/main" id="{E6AED158-DEDA-485E-B892-F78567F253D1}"/>
            </a:ext>
          </a:extLst>
        </xdr:cNvPr>
        <xdr:cNvSpPr/>
      </xdr:nvSpPr>
      <xdr:spPr>
        <a:xfrm rot="10800000">
          <a:off x="14250388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011" name="Isosceles Triangle 1010">
          <a:extLst>
            <a:ext uri="{FF2B5EF4-FFF2-40B4-BE49-F238E27FC236}">
              <a16:creationId xmlns:a16="http://schemas.microsoft.com/office/drawing/2014/main" id="{6BAA40E2-D9C1-4329-B0AE-ED6D9B2523BF}"/>
            </a:ext>
          </a:extLst>
        </xdr:cNvPr>
        <xdr:cNvSpPr/>
      </xdr:nvSpPr>
      <xdr:spPr>
        <a:xfrm rot="10800000">
          <a:off x="14250388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012" name="Isosceles Triangle 1011">
          <a:extLst>
            <a:ext uri="{FF2B5EF4-FFF2-40B4-BE49-F238E27FC236}">
              <a16:creationId xmlns:a16="http://schemas.microsoft.com/office/drawing/2014/main" id="{FA71980C-ABD7-42E6-A6B8-A645B49CA6D4}"/>
            </a:ext>
          </a:extLst>
        </xdr:cNvPr>
        <xdr:cNvSpPr/>
      </xdr:nvSpPr>
      <xdr:spPr>
        <a:xfrm rot="10800000">
          <a:off x="14250388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013" name="Isosceles Triangle 1012">
          <a:extLst>
            <a:ext uri="{FF2B5EF4-FFF2-40B4-BE49-F238E27FC236}">
              <a16:creationId xmlns:a16="http://schemas.microsoft.com/office/drawing/2014/main" id="{4457A9AC-D0E5-4AFE-9A68-245C66311B9B}"/>
            </a:ext>
          </a:extLst>
        </xdr:cNvPr>
        <xdr:cNvSpPr/>
      </xdr:nvSpPr>
      <xdr:spPr>
        <a:xfrm rot="10800000">
          <a:off x="14250388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100</xdr:row>
      <xdr:rowOff>196272</xdr:rowOff>
    </xdr:from>
    <xdr:to>
      <xdr:col>10</xdr:col>
      <xdr:colOff>2320636</xdr:colOff>
      <xdr:row>100</xdr:row>
      <xdr:rowOff>346363</xdr:rowOff>
    </xdr:to>
    <xdr:sp macro="" textlink="">
      <xdr:nvSpPr>
        <xdr:cNvPr id="1014" name="Isosceles Triangle 1013">
          <a:extLst>
            <a:ext uri="{FF2B5EF4-FFF2-40B4-BE49-F238E27FC236}">
              <a16:creationId xmlns:a16="http://schemas.microsoft.com/office/drawing/2014/main" id="{DCF8695D-402F-4902-B632-EC30D6E5C1E6}"/>
            </a:ext>
          </a:extLst>
        </xdr:cNvPr>
        <xdr:cNvSpPr/>
      </xdr:nvSpPr>
      <xdr:spPr>
        <a:xfrm rot="10800000">
          <a:off x="14250388" y="563556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1015" name="Isosceles Triangle 1014">
          <a:extLst>
            <a:ext uri="{FF2B5EF4-FFF2-40B4-BE49-F238E27FC236}">
              <a16:creationId xmlns:a16="http://schemas.microsoft.com/office/drawing/2014/main" id="{AD2B2757-3470-412A-A62E-18C264D10897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1016" name="Isosceles Triangle 1015">
          <a:extLst>
            <a:ext uri="{FF2B5EF4-FFF2-40B4-BE49-F238E27FC236}">
              <a16:creationId xmlns:a16="http://schemas.microsoft.com/office/drawing/2014/main" id="{6D20C1D7-35CF-4D6D-B872-721F4C866E49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1017" name="Isosceles Triangle 1016">
          <a:extLst>
            <a:ext uri="{FF2B5EF4-FFF2-40B4-BE49-F238E27FC236}">
              <a16:creationId xmlns:a16="http://schemas.microsoft.com/office/drawing/2014/main" id="{5BD2E725-2703-44DB-AA87-1B5C1AFDDD04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1018" name="Isosceles Triangle 1017">
          <a:extLst>
            <a:ext uri="{FF2B5EF4-FFF2-40B4-BE49-F238E27FC236}">
              <a16:creationId xmlns:a16="http://schemas.microsoft.com/office/drawing/2014/main" id="{5B47B2FF-B2D7-41B4-A026-2A37BC503243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1019" name="Isosceles Triangle 1018">
          <a:extLst>
            <a:ext uri="{FF2B5EF4-FFF2-40B4-BE49-F238E27FC236}">
              <a16:creationId xmlns:a16="http://schemas.microsoft.com/office/drawing/2014/main" id="{155A135E-762A-4A6A-9E5E-D453F9B89E7B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125</xdr:row>
      <xdr:rowOff>196272</xdr:rowOff>
    </xdr:from>
    <xdr:to>
      <xdr:col>10</xdr:col>
      <xdr:colOff>2320636</xdr:colOff>
      <xdr:row>125</xdr:row>
      <xdr:rowOff>346363</xdr:rowOff>
    </xdr:to>
    <xdr:sp macro="" textlink="">
      <xdr:nvSpPr>
        <xdr:cNvPr id="1020" name="Isosceles Triangle 1019">
          <a:extLst>
            <a:ext uri="{FF2B5EF4-FFF2-40B4-BE49-F238E27FC236}">
              <a16:creationId xmlns:a16="http://schemas.microsoft.com/office/drawing/2014/main" id="{2BDFC694-16BE-40BA-A86A-1FBE3505E158}"/>
            </a:ext>
          </a:extLst>
        </xdr:cNvPr>
        <xdr:cNvSpPr/>
      </xdr:nvSpPr>
      <xdr:spPr>
        <a:xfrm rot="10800000">
          <a:off x="14250388" y="708554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95</xdr:row>
      <xdr:rowOff>196272</xdr:rowOff>
    </xdr:from>
    <xdr:to>
      <xdr:col>8</xdr:col>
      <xdr:colOff>2320636</xdr:colOff>
      <xdr:row>95</xdr:row>
      <xdr:rowOff>346363</xdr:rowOff>
    </xdr:to>
    <xdr:sp macro="" textlink="">
      <xdr:nvSpPr>
        <xdr:cNvPr id="1021" name="Isosceles Triangle 1020">
          <a:extLst>
            <a:ext uri="{FF2B5EF4-FFF2-40B4-BE49-F238E27FC236}">
              <a16:creationId xmlns:a16="http://schemas.microsoft.com/office/drawing/2014/main" id="{A615989D-9705-4F1F-8C98-BEB8FC19FB04}"/>
            </a:ext>
          </a:extLst>
        </xdr:cNvPr>
        <xdr:cNvSpPr/>
      </xdr:nvSpPr>
      <xdr:spPr>
        <a:xfrm rot="10800000">
          <a:off x="10788731" y="534709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57</xdr:row>
      <xdr:rowOff>196272</xdr:rowOff>
    </xdr:from>
    <xdr:to>
      <xdr:col>8</xdr:col>
      <xdr:colOff>2320636</xdr:colOff>
      <xdr:row>57</xdr:row>
      <xdr:rowOff>346363</xdr:rowOff>
    </xdr:to>
    <xdr:sp macro="" textlink="">
      <xdr:nvSpPr>
        <xdr:cNvPr id="998" name="Isosceles Triangle 997">
          <a:extLst>
            <a:ext uri="{FF2B5EF4-FFF2-40B4-BE49-F238E27FC236}">
              <a16:creationId xmlns:a16="http://schemas.microsoft.com/office/drawing/2014/main" id="{808C23C1-C645-49FF-828C-334CA9EA1AF0}"/>
            </a:ext>
          </a:extLst>
        </xdr:cNvPr>
        <xdr:cNvSpPr/>
      </xdr:nvSpPr>
      <xdr:spPr>
        <a:xfrm rot="10800000">
          <a:off x="10788731" y="31547129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58</xdr:row>
      <xdr:rowOff>196272</xdr:rowOff>
    </xdr:from>
    <xdr:to>
      <xdr:col>8</xdr:col>
      <xdr:colOff>2320636</xdr:colOff>
      <xdr:row>58</xdr:row>
      <xdr:rowOff>346363</xdr:rowOff>
    </xdr:to>
    <xdr:sp macro="" textlink="">
      <xdr:nvSpPr>
        <xdr:cNvPr id="1022" name="Isosceles Triangle 1021">
          <a:extLst>
            <a:ext uri="{FF2B5EF4-FFF2-40B4-BE49-F238E27FC236}">
              <a16:creationId xmlns:a16="http://schemas.microsoft.com/office/drawing/2014/main" id="{24D6EED9-6F0C-40E9-B32E-E8B11CBF3220}"/>
            </a:ext>
          </a:extLst>
        </xdr:cNvPr>
        <xdr:cNvSpPr/>
      </xdr:nvSpPr>
      <xdr:spPr>
        <a:xfrm rot="10800000">
          <a:off x="10788731" y="32124072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75</xdr:row>
      <xdr:rowOff>196272</xdr:rowOff>
    </xdr:from>
    <xdr:to>
      <xdr:col>10</xdr:col>
      <xdr:colOff>2320636</xdr:colOff>
      <xdr:row>75</xdr:row>
      <xdr:rowOff>346363</xdr:rowOff>
    </xdr:to>
    <xdr:sp macro="" textlink="">
      <xdr:nvSpPr>
        <xdr:cNvPr id="1023" name="Isosceles Triangle 1022">
          <a:extLst>
            <a:ext uri="{FF2B5EF4-FFF2-40B4-BE49-F238E27FC236}">
              <a16:creationId xmlns:a16="http://schemas.microsoft.com/office/drawing/2014/main" id="{E103335A-B616-47C4-97B2-4CE88520E68D}"/>
            </a:ext>
          </a:extLst>
        </xdr:cNvPr>
        <xdr:cNvSpPr/>
      </xdr:nvSpPr>
      <xdr:spPr>
        <a:xfrm rot="10800000">
          <a:off x="14250388" y="41932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76</xdr:row>
      <xdr:rowOff>196272</xdr:rowOff>
    </xdr:from>
    <xdr:to>
      <xdr:col>10</xdr:col>
      <xdr:colOff>2320636</xdr:colOff>
      <xdr:row>76</xdr:row>
      <xdr:rowOff>346363</xdr:rowOff>
    </xdr:to>
    <xdr:sp macro="" textlink="">
      <xdr:nvSpPr>
        <xdr:cNvPr id="1024" name="Isosceles Triangle 1023">
          <a:extLst>
            <a:ext uri="{FF2B5EF4-FFF2-40B4-BE49-F238E27FC236}">
              <a16:creationId xmlns:a16="http://schemas.microsoft.com/office/drawing/2014/main" id="{04B0C1FF-C690-4047-BA3F-0651C5E254D8}"/>
            </a:ext>
          </a:extLst>
        </xdr:cNvPr>
        <xdr:cNvSpPr/>
      </xdr:nvSpPr>
      <xdr:spPr>
        <a:xfrm rot="10800000">
          <a:off x="14250388" y="42509043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137</xdr:row>
      <xdr:rowOff>196272</xdr:rowOff>
    </xdr:from>
    <xdr:to>
      <xdr:col>10</xdr:col>
      <xdr:colOff>2320636</xdr:colOff>
      <xdr:row>137</xdr:row>
      <xdr:rowOff>346363</xdr:rowOff>
    </xdr:to>
    <xdr:sp macro="" textlink="">
      <xdr:nvSpPr>
        <xdr:cNvPr id="1025" name="Isosceles Triangle 1024">
          <a:extLst>
            <a:ext uri="{FF2B5EF4-FFF2-40B4-BE49-F238E27FC236}">
              <a16:creationId xmlns:a16="http://schemas.microsoft.com/office/drawing/2014/main" id="{8C86F9F8-452C-4113-8E01-1E11EE1238AD}"/>
            </a:ext>
          </a:extLst>
        </xdr:cNvPr>
        <xdr:cNvSpPr/>
      </xdr:nvSpPr>
      <xdr:spPr>
        <a:xfrm rot="10800000">
          <a:off x="14250388" y="77778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2112817</xdr:colOff>
      <xdr:row>89</xdr:row>
      <xdr:rowOff>196272</xdr:rowOff>
    </xdr:from>
    <xdr:to>
      <xdr:col>8</xdr:col>
      <xdr:colOff>2320636</xdr:colOff>
      <xdr:row>89</xdr:row>
      <xdr:rowOff>346363</xdr:rowOff>
    </xdr:to>
    <xdr:sp macro="" textlink="">
      <xdr:nvSpPr>
        <xdr:cNvPr id="1026" name="Isosceles Triangle 1025">
          <a:extLst>
            <a:ext uri="{FF2B5EF4-FFF2-40B4-BE49-F238E27FC236}">
              <a16:creationId xmlns:a16="http://schemas.microsoft.com/office/drawing/2014/main" id="{E69806F1-27C7-43E9-B3C8-83029112B77D}"/>
            </a:ext>
          </a:extLst>
        </xdr:cNvPr>
        <xdr:cNvSpPr/>
      </xdr:nvSpPr>
      <xdr:spPr>
        <a:xfrm rot="10800000">
          <a:off x="10788731" y="50009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1027" name="Isosceles Triangle 1026">
          <a:extLst>
            <a:ext uri="{FF2B5EF4-FFF2-40B4-BE49-F238E27FC236}">
              <a16:creationId xmlns:a16="http://schemas.microsoft.com/office/drawing/2014/main" id="{50CBD924-4F4E-4026-9478-41DA1F341134}"/>
            </a:ext>
          </a:extLst>
        </xdr:cNvPr>
        <xdr:cNvSpPr/>
      </xdr:nvSpPr>
      <xdr:spPr>
        <a:xfrm rot="10800000">
          <a:off x="14250388" y="50009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1028" name="Isosceles Triangle 1027">
          <a:extLst>
            <a:ext uri="{FF2B5EF4-FFF2-40B4-BE49-F238E27FC236}">
              <a16:creationId xmlns:a16="http://schemas.microsoft.com/office/drawing/2014/main" id="{A431E45F-FDBD-45D2-BEFB-49C4DC056B0F}"/>
            </a:ext>
          </a:extLst>
        </xdr:cNvPr>
        <xdr:cNvSpPr/>
      </xdr:nvSpPr>
      <xdr:spPr>
        <a:xfrm rot="10800000">
          <a:off x="14250388" y="50009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1029" name="Isosceles Triangle 1028">
          <a:extLst>
            <a:ext uri="{FF2B5EF4-FFF2-40B4-BE49-F238E27FC236}">
              <a16:creationId xmlns:a16="http://schemas.microsoft.com/office/drawing/2014/main" id="{BAFEE07F-272E-4238-AFC3-E1606DB1D1D7}"/>
            </a:ext>
          </a:extLst>
        </xdr:cNvPr>
        <xdr:cNvSpPr/>
      </xdr:nvSpPr>
      <xdr:spPr>
        <a:xfrm rot="10800000">
          <a:off x="14250388" y="50009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1030" name="Isosceles Triangle 1029">
          <a:extLst>
            <a:ext uri="{FF2B5EF4-FFF2-40B4-BE49-F238E27FC236}">
              <a16:creationId xmlns:a16="http://schemas.microsoft.com/office/drawing/2014/main" id="{80848743-404F-4F58-8EE7-F76EBF931657}"/>
            </a:ext>
          </a:extLst>
        </xdr:cNvPr>
        <xdr:cNvSpPr/>
      </xdr:nvSpPr>
      <xdr:spPr>
        <a:xfrm rot="10800000">
          <a:off x="14250388" y="50009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1031" name="Isosceles Triangle 1030">
          <a:extLst>
            <a:ext uri="{FF2B5EF4-FFF2-40B4-BE49-F238E27FC236}">
              <a16:creationId xmlns:a16="http://schemas.microsoft.com/office/drawing/2014/main" id="{529B2401-B2DB-4167-A932-C3E9DAD80061}"/>
            </a:ext>
          </a:extLst>
        </xdr:cNvPr>
        <xdr:cNvSpPr/>
      </xdr:nvSpPr>
      <xdr:spPr>
        <a:xfrm rot="10800000">
          <a:off x="14250388" y="50009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1032" name="Isosceles Triangle 1031">
          <a:extLst>
            <a:ext uri="{FF2B5EF4-FFF2-40B4-BE49-F238E27FC236}">
              <a16:creationId xmlns:a16="http://schemas.microsoft.com/office/drawing/2014/main" id="{645DAA2D-C0B6-4133-A182-107E66B059A1}"/>
            </a:ext>
          </a:extLst>
        </xdr:cNvPr>
        <xdr:cNvSpPr/>
      </xdr:nvSpPr>
      <xdr:spPr>
        <a:xfrm rot="10800000">
          <a:off x="14250388" y="50009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1033" name="Isosceles Triangle 1032">
          <a:extLst>
            <a:ext uri="{FF2B5EF4-FFF2-40B4-BE49-F238E27FC236}">
              <a16:creationId xmlns:a16="http://schemas.microsoft.com/office/drawing/2014/main" id="{2337B254-EB89-4A35-9607-5BD4ED543938}"/>
            </a:ext>
          </a:extLst>
        </xdr:cNvPr>
        <xdr:cNvSpPr/>
      </xdr:nvSpPr>
      <xdr:spPr>
        <a:xfrm rot="10800000">
          <a:off x="14250388" y="50009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89</xdr:row>
      <xdr:rowOff>196272</xdr:rowOff>
    </xdr:from>
    <xdr:to>
      <xdr:col>10</xdr:col>
      <xdr:colOff>2320636</xdr:colOff>
      <xdr:row>89</xdr:row>
      <xdr:rowOff>346363</xdr:rowOff>
    </xdr:to>
    <xdr:sp macro="" textlink="">
      <xdr:nvSpPr>
        <xdr:cNvPr id="1034" name="Isosceles Triangle 1033">
          <a:extLst>
            <a:ext uri="{FF2B5EF4-FFF2-40B4-BE49-F238E27FC236}">
              <a16:creationId xmlns:a16="http://schemas.microsoft.com/office/drawing/2014/main" id="{554BD0FC-E7BC-4A9D-AC97-748CA9A5F20E}"/>
            </a:ext>
          </a:extLst>
        </xdr:cNvPr>
        <xdr:cNvSpPr/>
      </xdr:nvSpPr>
      <xdr:spPr>
        <a:xfrm rot="10800000">
          <a:off x="14250388" y="500093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81</xdr:row>
      <xdr:rowOff>196272</xdr:rowOff>
    </xdr:from>
    <xdr:to>
      <xdr:col>10</xdr:col>
      <xdr:colOff>2320636</xdr:colOff>
      <xdr:row>81</xdr:row>
      <xdr:rowOff>346363</xdr:rowOff>
    </xdr:to>
    <xdr:sp macro="" textlink="">
      <xdr:nvSpPr>
        <xdr:cNvPr id="1035" name="Isosceles Triangle 1034">
          <a:extLst>
            <a:ext uri="{FF2B5EF4-FFF2-40B4-BE49-F238E27FC236}">
              <a16:creationId xmlns:a16="http://schemas.microsoft.com/office/drawing/2014/main" id="{1EAEE71B-5EA0-4181-9586-A798CD92ED51}"/>
            </a:ext>
          </a:extLst>
        </xdr:cNvPr>
        <xdr:cNvSpPr/>
      </xdr:nvSpPr>
      <xdr:spPr>
        <a:xfrm rot="10800000">
          <a:off x="14250388" y="45393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81</xdr:row>
      <xdr:rowOff>196272</xdr:rowOff>
    </xdr:from>
    <xdr:to>
      <xdr:col>10</xdr:col>
      <xdr:colOff>2320636</xdr:colOff>
      <xdr:row>81</xdr:row>
      <xdr:rowOff>346363</xdr:rowOff>
    </xdr:to>
    <xdr:sp macro="" textlink="">
      <xdr:nvSpPr>
        <xdr:cNvPr id="1036" name="Isosceles Triangle 1035">
          <a:extLst>
            <a:ext uri="{FF2B5EF4-FFF2-40B4-BE49-F238E27FC236}">
              <a16:creationId xmlns:a16="http://schemas.microsoft.com/office/drawing/2014/main" id="{610BEDB0-FD40-4768-A5A9-4C3DAB971A53}"/>
            </a:ext>
          </a:extLst>
        </xdr:cNvPr>
        <xdr:cNvSpPr/>
      </xdr:nvSpPr>
      <xdr:spPr>
        <a:xfrm rot="10800000">
          <a:off x="14250388" y="45393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81</xdr:row>
      <xdr:rowOff>196272</xdr:rowOff>
    </xdr:from>
    <xdr:to>
      <xdr:col>10</xdr:col>
      <xdr:colOff>2320636</xdr:colOff>
      <xdr:row>81</xdr:row>
      <xdr:rowOff>346363</xdr:rowOff>
    </xdr:to>
    <xdr:sp macro="" textlink="">
      <xdr:nvSpPr>
        <xdr:cNvPr id="1037" name="Isosceles Triangle 1036">
          <a:extLst>
            <a:ext uri="{FF2B5EF4-FFF2-40B4-BE49-F238E27FC236}">
              <a16:creationId xmlns:a16="http://schemas.microsoft.com/office/drawing/2014/main" id="{A8BC486E-A894-4BD0-B9F0-DCCE3BC9A922}"/>
            </a:ext>
          </a:extLst>
        </xdr:cNvPr>
        <xdr:cNvSpPr/>
      </xdr:nvSpPr>
      <xdr:spPr>
        <a:xfrm rot="10800000">
          <a:off x="14250388" y="45393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81</xdr:row>
      <xdr:rowOff>196272</xdr:rowOff>
    </xdr:from>
    <xdr:to>
      <xdr:col>10</xdr:col>
      <xdr:colOff>2320636</xdr:colOff>
      <xdr:row>81</xdr:row>
      <xdr:rowOff>346363</xdr:rowOff>
    </xdr:to>
    <xdr:sp macro="" textlink="">
      <xdr:nvSpPr>
        <xdr:cNvPr id="1038" name="Isosceles Triangle 1037">
          <a:extLst>
            <a:ext uri="{FF2B5EF4-FFF2-40B4-BE49-F238E27FC236}">
              <a16:creationId xmlns:a16="http://schemas.microsoft.com/office/drawing/2014/main" id="{EEFAD84A-661D-4910-8D2C-BBCAC36B2212}"/>
            </a:ext>
          </a:extLst>
        </xdr:cNvPr>
        <xdr:cNvSpPr/>
      </xdr:nvSpPr>
      <xdr:spPr>
        <a:xfrm rot="10800000">
          <a:off x="14250388" y="45393758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75</xdr:row>
      <xdr:rowOff>196272</xdr:rowOff>
    </xdr:from>
    <xdr:to>
      <xdr:col>10</xdr:col>
      <xdr:colOff>2320636</xdr:colOff>
      <xdr:row>75</xdr:row>
      <xdr:rowOff>346363</xdr:rowOff>
    </xdr:to>
    <xdr:sp macro="" textlink="">
      <xdr:nvSpPr>
        <xdr:cNvPr id="1039" name="Isosceles Triangle 1038">
          <a:extLst>
            <a:ext uri="{FF2B5EF4-FFF2-40B4-BE49-F238E27FC236}">
              <a16:creationId xmlns:a16="http://schemas.microsoft.com/office/drawing/2014/main" id="{CAF44E57-1E49-4A79-A49D-797EB60A5BC7}"/>
            </a:ext>
          </a:extLst>
        </xdr:cNvPr>
        <xdr:cNvSpPr/>
      </xdr:nvSpPr>
      <xdr:spPr>
        <a:xfrm rot="10800000">
          <a:off x="14250388" y="41932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75</xdr:row>
      <xdr:rowOff>196272</xdr:rowOff>
    </xdr:from>
    <xdr:to>
      <xdr:col>10</xdr:col>
      <xdr:colOff>2320636</xdr:colOff>
      <xdr:row>75</xdr:row>
      <xdr:rowOff>346363</xdr:rowOff>
    </xdr:to>
    <xdr:sp macro="" textlink="">
      <xdr:nvSpPr>
        <xdr:cNvPr id="1040" name="Isosceles Triangle 1039">
          <a:extLst>
            <a:ext uri="{FF2B5EF4-FFF2-40B4-BE49-F238E27FC236}">
              <a16:creationId xmlns:a16="http://schemas.microsoft.com/office/drawing/2014/main" id="{A5916651-DCFA-4E99-BA54-F8F28FF9B194}"/>
            </a:ext>
          </a:extLst>
        </xdr:cNvPr>
        <xdr:cNvSpPr/>
      </xdr:nvSpPr>
      <xdr:spPr>
        <a:xfrm rot="10800000">
          <a:off x="14250388" y="41932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75</xdr:row>
      <xdr:rowOff>196272</xdr:rowOff>
    </xdr:from>
    <xdr:to>
      <xdr:col>10</xdr:col>
      <xdr:colOff>2320636</xdr:colOff>
      <xdr:row>75</xdr:row>
      <xdr:rowOff>346363</xdr:rowOff>
    </xdr:to>
    <xdr:sp macro="" textlink="">
      <xdr:nvSpPr>
        <xdr:cNvPr id="1041" name="Isosceles Triangle 1040">
          <a:extLst>
            <a:ext uri="{FF2B5EF4-FFF2-40B4-BE49-F238E27FC236}">
              <a16:creationId xmlns:a16="http://schemas.microsoft.com/office/drawing/2014/main" id="{05C6D3F2-EA9E-42E7-909D-946C2D2D6001}"/>
            </a:ext>
          </a:extLst>
        </xdr:cNvPr>
        <xdr:cNvSpPr/>
      </xdr:nvSpPr>
      <xdr:spPr>
        <a:xfrm rot="10800000">
          <a:off x="14250388" y="41932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75</xdr:row>
      <xdr:rowOff>196272</xdr:rowOff>
    </xdr:from>
    <xdr:to>
      <xdr:col>10</xdr:col>
      <xdr:colOff>2320636</xdr:colOff>
      <xdr:row>75</xdr:row>
      <xdr:rowOff>346363</xdr:rowOff>
    </xdr:to>
    <xdr:sp macro="" textlink="">
      <xdr:nvSpPr>
        <xdr:cNvPr id="1042" name="Isosceles Triangle 1041">
          <a:extLst>
            <a:ext uri="{FF2B5EF4-FFF2-40B4-BE49-F238E27FC236}">
              <a16:creationId xmlns:a16="http://schemas.microsoft.com/office/drawing/2014/main" id="{1B5B3F9A-DAFD-42CA-8352-487EDE873193}"/>
            </a:ext>
          </a:extLst>
        </xdr:cNvPr>
        <xdr:cNvSpPr/>
      </xdr:nvSpPr>
      <xdr:spPr>
        <a:xfrm rot="10800000">
          <a:off x="14250388" y="41932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75</xdr:row>
      <xdr:rowOff>196272</xdr:rowOff>
    </xdr:from>
    <xdr:to>
      <xdr:col>10</xdr:col>
      <xdr:colOff>2320636</xdr:colOff>
      <xdr:row>75</xdr:row>
      <xdr:rowOff>346363</xdr:rowOff>
    </xdr:to>
    <xdr:sp macro="" textlink="">
      <xdr:nvSpPr>
        <xdr:cNvPr id="1043" name="Isosceles Triangle 1042">
          <a:extLst>
            <a:ext uri="{FF2B5EF4-FFF2-40B4-BE49-F238E27FC236}">
              <a16:creationId xmlns:a16="http://schemas.microsoft.com/office/drawing/2014/main" id="{27B7F2AE-DC4E-4301-B30D-3068AB1CA09D}"/>
            </a:ext>
          </a:extLst>
        </xdr:cNvPr>
        <xdr:cNvSpPr/>
      </xdr:nvSpPr>
      <xdr:spPr>
        <a:xfrm rot="10800000">
          <a:off x="14250388" y="41932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2112817</xdr:colOff>
      <xdr:row>75</xdr:row>
      <xdr:rowOff>196272</xdr:rowOff>
    </xdr:from>
    <xdr:to>
      <xdr:col>10</xdr:col>
      <xdr:colOff>2320636</xdr:colOff>
      <xdr:row>75</xdr:row>
      <xdr:rowOff>346363</xdr:rowOff>
    </xdr:to>
    <xdr:sp macro="" textlink="">
      <xdr:nvSpPr>
        <xdr:cNvPr id="1044" name="Isosceles Triangle 1043">
          <a:extLst>
            <a:ext uri="{FF2B5EF4-FFF2-40B4-BE49-F238E27FC236}">
              <a16:creationId xmlns:a16="http://schemas.microsoft.com/office/drawing/2014/main" id="{498DA56B-F5EC-4CF5-A385-CC587FA3E5F2}"/>
            </a:ext>
          </a:extLst>
        </xdr:cNvPr>
        <xdr:cNvSpPr/>
      </xdr:nvSpPr>
      <xdr:spPr>
        <a:xfrm rot="10800000">
          <a:off x="14250388" y="41932101"/>
          <a:ext cx="207819" cy="150091"/>
        </a:xfrm>
        <a:prstGeom prst="triangle">
          <a:avLst/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5B62B2-6F28-40C4-AC30-CBE261F92DF8}" name="Table4" displayName="Table4" ref="N5:Y33" totalsRowShown="0" headerRowDxfId="1187" dataDxfId="1186">
  <autoFilter ref="N5:Y33" xr:uid="{885B62B2-6F28-40C4-AC30-CBE261F92DF8}"/>
  <tableColumns count="12">
    <tableColumn id="1" xr3:uid="{02131DD5-1404-41E6-A47C-073E5439359E}" name="No" dataDxfId="1185">
      <calculatedColumnFormula>'TABLE DOSEN'!A2</calculatedColumnFormula>
    </tableColumn>
    <tableColumn id="2" xr3:uid="{C694B2A3-87A3-48B2-B43F-7753DB0F33C3}" name="Nama Dosen" dataDxfId="1184">
      <calculatedColumnFormula>'TABLE DOSEN'!B3</calculatedColumnFormula>
    </tableColumn>
    <tableColumn id="3" xr3:uid="{CC7AADE1-0E20-45D0-ADA0-39958C211E4F}" name="Kode Dosen" dataDxfId="1183">
      <calculatedColumnFormula>'TABLE DOSEN'!C3</calculatedColumnFormula>
    </tableColumn>
    <tableColumn id="4" xr3:uid="{836B353A-5DEF-416F-A74F-A5D3480F140D}" name="Beban Ajar" dataDxfId="1182">
      <calculatedColumnFormula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calculatedColumnFormula>
    </tableColumn>
    <tableColumn id="5" xr3:uid="{8024093A-5C13-4543-84EE-0F58BCDA1090}" name="Jumlah Kelas" dataDxfId="1181">
      <calculatedColumnFormula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calculatedColumnFormula>
    </tableColumn>
    <tableColumn id="6" xr3:uid="{6C0FA828-8E9B-45C6-BDEA-9D0CFE7CB968}" name="Jum Kelas Praktikum" dataDxfId="1180">
      <calculatedColumnFormula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calculatedColumnFormula>
    </tableColumn>
    <tableColumn id="7" xr3:uid="{4E38450C-507D-4F02-9476-3A086C9821D2}" name="Jum Kelas Tandem" dataDxfId="1179">
      <calculatedColumnFormula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calculatedColumnFormula>
    </tableColumn>
    <tableColumn id="8" xr3:uid="{5A277045-4205-4C03-8C15-0DD3DDF4A714}" name="Senin" dataDxfId="1178">
      <calculatedColumnFormula>COUNTIF('PROGRAM JADWAL GENAP'!Q$7:Q$31,Table4[[#This Row],[Nama Dosen]])+COUNTIF('PROGRAM JADWAL GENAP'!R$7:R$31,Table4[[#This Row],[Nama Dosen]])</calculatedColumnFormula>
    </tableColumn>
    <tableColumn id="9" xr3:uid="{18B6FA25-2717-4D8B-AF9C-444A7BE1404B}" name="Selasa" dataDxfId="1177">
      <calculatedColumnFormula>COUNTIF('PROGRAM JADWAL GENAP'!Q$33:Q$56,Table4[[#This Row],[Nama Dosen]])+COUNTIF('PROGRAM JADWAL GENAP'!R$33:R$56,Table4[[#This Row],[Nama Dosen]])</calculatedColumnFormula>
    </tableColumn>
    <tableColumn id="10" xr3:uid="{B59B93E1-79B7-4882-92BB-DB87C63C5B46}" name="Rabu" dataDxfId="1176">
      <calculatedColumnFormula>COUNTIF('PROGRAM JADWAL GENAP'!Q$58:Q$81,Table4[[#This Row],[Nama Dosen]])+COUNTIF('PROGRAM JADWAL GENAP'!R$58:R$81,Table4[[#This Row],[Nama Dosen]])</calculatedColumnFormula>
    </tableColumn>
    <tableColumn id="11" xr3:uid="{0695D05D-BB0D-495B-AADE-D23BDC6BFD7E}" name="Kamis" dataDxfId="1175">
      <calculatedColumnFormula>COUNTIF('PROGRAM JADWAL GENAP'!Q$84:Q$108,Table4[[#This Row],[Nama Dosen]])+COUNTIF('PROGRAM JADWAL GENAP'!R$84:R$108,Table4[[#This Row],[Nama Dosen]])</calculatedColumnFormula>
    </tableColumn>
    <tableColumn id="12" xr3:uid="{E3765E34-8B3D-4808-96F7-60C24C60F280}" name="Jumat" dataDxfId="1174">
      <calculatedColumnFormula>COUNTIF('PROGRAM JADWAL GENAP'!Q$110:Q$128,Table4[[#This Row],[Nama Dosen]])+COUNTIF('PROGRAM JADWAL GENAP'!R$110:R$128,Table4[[#This Row],[Nama Dosen]])</calculatedColumnFormula>
    </tableColumn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E36F0-696A-4A5C-9D94-464116CB88DE}" name="Table1" displayName="Table1" ref="A1:G32" totalsRowShown="0" headerRowDxfId="103" dataDxfId="102">
  <autoFilter ref="A1:G32" xr:uid="{9F4E36F0-696A-4A5C-9D94-464116CB88DE}"/>
  <tableColumns count="7">
    <tableColumn id="1" xr3:uid="{E47AB93F-4F9D-4711-9A6B-C1BB8AA34203}" name="Kode MK" dataDxfId="101"/>
    <tableColumn id="2" xr3:uid="{F9B37587-A99A-4A77-B2AB-20408E32209F}" name="Nama MK" dataDxfId="100"/>
    <tableColumn id="3" xr3:uid="{BFE9499D-31F0-467B-8E97-CE5867ABBF1B}" name="SMT" dataDxfId="99"/>
    <tableColumn id="4" xr3:uid="{F126EE7E-7DF8-48F2-AD97-F34A57E3B97E}" name="SKS" dataDxfId="98"/>
    <tableColumn id="5" xr3:uid="{8F0EB944-0C08-4493-9D42-4CC6937EA78E}" name="Mata Kuliah Prasyarat" dataDxfId="97"/>
    <tableColumn id="6" xr3:uid="{3F4CD23B-4D93-4460-9129-F33C17DA9A3F}" name="Tahun Ajaran" dataDxfId="96"/>
    <tableColumn id="7" xr3:uid="{4712A31D-8EA5-4D24-8622-2FC08E2FBB13}" name="Kapasitas" dataDxfId="95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BF2C60-7C6A-4D78-A0F9-CDC4D7929707}" name="Table6" displayName="Table6" ref="I1:N26" totalsRowShown="0" headerRowDxfId="94" dataDxfId="93">
  <autoFilter ref="I1:N26" xr:uid="{53BF2C60-7C6A-4D78-A0F9-CDC4D7929707}"/>
  <tableColumns count="6">
    <tableColumn id="1" xr3:uid="{1406AEE0-AF43-42DE-8039-34331C910A2D}" name="Kode MK" dataDxfId="92"/>
    <tableColumn id="2" xr3:uid="{144D49C4-2E53-4BF7-8D0A-B1CF9B5A1207}" name="Nama MK" dataDxfId="91"/>
    <tableColumn id="3" xr3:uid="{FD98AE07-F77E-4AB8-92C5-82B6D24284ED}" name="SMT" dataDxfId="90"/>
    <tableColumn id="4" xr3:uid="{17FDE03B-1FD5-42B9-B8D0-FE0669AC1C21}" name="SKS" dataDxfId="89"/>
    <tableColumn id="5" xr3:uid="{800F3D2E-E08F-4E35-B692-E2EDB9124BB3}" name="Mata Kuliah Prasayarat" dataDxfId="88"/>
    <tableColumn id="6" xr3:uid="{56878F73-67C1-4A7F-9559-2C130C6A72E2}" name="Tahun Ajaran" dataDxfId="87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2C3B9E-C505-4B4F-BBE2-F7C4ED5A28BB}" name="Table5" displayName="Table5" ref="B36:F80" totalsRowShown="0" headerRowDxfId="86">
  <autoFilter ref="B36:F80" xr:uid="{372C3B9E-C505-4B4F-BBE2-F7C4ED5A28BB}"/>
  <tableColumns count="5">
    <tableColumn id="1" xr3:uid="{16E2218D-7635-4FEB-A966-5F311D7D158D}" name="Nama Matakuliah" dataDxfId="85"/>
    <tableColumn id="2" xr3:uid="{82E4F935-87C9-4B9C-B495-D51C773A2BF2}" name="SMT" dataDxfId="84"/>
    <tableColumn id="3" xr3:uid="{79085A06-9192-4CBA-A206-789D123BC175}" name="SKS" dataDxfId="83"/>
    <tableColumn id="4" xr3:uid="{BC90D66E-AD80-4654-BF19-34AE6B759B2A}" name="Kode MK" dataDxfId="82"/>
    <tableColumn id="5" xr3:uid="{05115236-96D1-48FA-B8B7-409D2B424DBD}" name="Keterangan" dataDxfId="81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517AB9-3ABC-4ED7-87AA-F46992055811}" name="Table8" displayName="Table8" ref="H36:L78" totalsRowShown="0" headerRowDxfId="80" dataDxfId="78" headerRowBorderDxfId="79" tableBorderDxfId="77" totalsRowBorderDxfId="76">
  <autoFilter ref="H36:L78" xr:uid="{BD517AB9-3ABC-4ED7-87AA-F46992055811}"/>
  <sortState xmlns:xlrd2="http://schemas.microsoft.com/office/spreadsheetml/2017/richdata2" ref="H37:L78">
    <sortCondition ref="I36:I78"/>
  </sortState>
  <tableColumns count="5">
    <tableColumn id="1" xr3:uid="{54BDDB7B-55DF-459E-B743-7015925273BC}" name="No" dataDxfId="75"/>
    <tableColumn id="2" xr3:uid="{BAC9FF0B-60D8-4706-A4F7-8A0DC24AA24B}" name="Kode MK" dataDxfId="74"/>
    <tableColumn id="3" xr3:uid="{E965C5CA-15B5-4E4C-9E9B-AB336EB7C523}" name="Nama MK" dataDxfId="73"/>
    <tableColumn id="4" xr3:uid="{829FAC48-D378-4FD4-B1EB-216942F8F7DF}" name="Jumlah SKS" dataDxfId="72"/>
    <tableColumn id="5" xr3:uid="{89A93CEE-4ABC-42A9-8B14-178E908507AC}" name="Tahun Ajaran" dataDxfId="7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C02A18-4F88-449E-980B-A5828C6F992F}" name="tbDosen" displayName="tbDosen" ref="A1:C30" totalsRowShown="0" headerRowDxfId="20" dataDxfId="19" tableBorderDxfId="18">
  <autoFilter ref="A1:C30" xr:uid="{65C02A18-4F88-449E-980B-A5828C6F992F}"/>
  <sortState xmlns:xlrd2="http://schemas.microsoft.com/office/spreadsheetml/2017/richdata2" ref="A2:C23">
    <sortCondition ref="C2:C24"/>
  </sortState>
  <tableColumns count="3">
    <tableColumn id="1" xr3:uid="{4891841D-4520-4E25-AD8F-EEE7063B3A6D}" name="NO" dataDxfId="17"/>
    <tableColumn id="2" xr3:uid="{D2693274-A746-4AD2-8AF1-C8B0BC16350D}" name="NAMA DOSEN" dataDxfId="16"/>
    <tableColumn id="3" xr3:uid="{92675E4D-D00E-403E-9E48-123D0EFF1941}" name="KODE" dataDxfId="15"/>
  </tableColumns>
  <tableStyleInfo name="TableStyleDark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C9330A-378E-4D49-A22E-5834706A907E}" name="Table2" displayName="Table2" ref="A1:B7" totalsRowShown="0">
  <autoFilter ref="A1:B7" xr:uid="{29C9330A-378E-4D49-A22E-5834706A907E}"/>
  <tableColumns count="2">
    <tableColumn id="2" xr3:uid="{FA158C5A-C890-4B15-A732-4FDCFEB395B8}" name="Jumlah Kelas"/>
    <tableColumn id="3" xr3:uid="{03DF4248-11CA-40E2-8AE8-988C36CD038E}" name="Nama Kela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B03CE6-2618-43DD-930F-E36855E20F26}" name="Table7" displayName="Table7" ref="A9:A11" totalsRowShown="0">
  <autoFilter ref="A9:A11" xr:uid="{F1B03CE6-2618-43DD-930F-E36855E20F26}"/>
  <tableColumns count="1">
    <tableColumn id="1" xr3:uid="{8077E8DE-8CBA-43C2-B7D2-696E3A5753CA}" name="Tahun Ajar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ee.untan.ac.id/dosen/prof-dr-ing-seno-d-panjaitan-st-mt-ipm_1654831975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4AA2-7B7A-498D-AE62-28EAE8903A91}">
  <sheetPr>
    <tabColor theme="9" tint="-0.249977111117893"/>
  </sheetPr>
  <dimension ref="A1"/>
  <sheetViews>
    <sheetView workbookViewId="0">
      <selection activeCell="H23" sqref="H2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AAC6-F5F6-40C7-B298-B258DFFF089C}">
  <sheetPr>
    <tabColor rgb="FF0070C0"/>
    <pageSetUpPr fitToPage="1"/>
  </sheetPr>
  <dimension ref="B2:Y33"/>
  <sheetViews>
    <sheetView showGridLines="0" zoomScale="85" zoomScaleNormal="85" workbookViewId="0">
      <selection activeCell="K20" sqref="K20"/>
    </sheetView>
  </sheetViews>
  <sheetFormatPr defaultRowHeight="14.4" x14ac:dyDescent="0.3"/>
  <cols>
    <col min="1" max="9" width="8.88671875" style="25"/>
    <col min="10" max="10" width="6" style="25" customWidth="1"/>
    <col min="11" max="11" width="3.44140625" style="25" customWidth="1"/>
    <col min="12" max="12" width="8.88671875" style="25" customWidth="1"/>
    <col min="13" max="13" width="4" style="25" customWidth="1"/>
    <col min="14" max="14" width="5.6640625" style="25" bestFit="1" customWidth="1"/>
    <col min="15" max="15" width="34.21875" style="25" bestFit="1" customWidth="1"/>
    <col min="16" max="16" width="8.88671875" style="25"/>
    <col min="17" max="17" width="10.21875" style="25" bestFit="1" customWidth="1"/>
    <col min="18" max="18" width="8.88671875" style="25"/>
    <col min="19" max="19" width="10.44140625" style="25" customWidth="1"/>
    <col min="20" max="20" width="11.88671875" style="25" customWidth="1"/>
    <col min="21" max="25" width="8.88671875" style="25" hidden="1" customWidth="1"/>
    <col min="26" max="16384" width="8.88671875" style="25"/>
  </cols>
  <sheetData>
    <row r="2" spans="2:25" x14ac:dyDescent="0.3">
      <c r="B2" s="255" t="str">
        <f>("Grafik Beban Ajar Dosen "&amp; O2 &amp; " TA "&amp;'SELECT KELAS GASAL'!I3)</f>
        <v>Grafik Beban Ajar Dosen Genap TA 2022 - 2023</v>
      </c>
      <c r="C2" s="255"/>
      <c r="D2" s="255"/>
      <c r="E2" s="255"/>
      <c r="F2" s="255"/>
      <c r="G2" s="255"/>
      <c r="H2" s="255"/>
      <c r="I2" s="255"/>
      <c r="L2" s="158" t="s">
        <v>424</v>
      </c>
      <c r="O2" s="159" t="s">
        <v>212</v>
      </c>
    </row>
    <row r="4" spans="2:25" ht="10.8" customHeight="1" x14ac:dyDescent="0.3">
      <c r="N4" s="24"/>
      <c r="O4" s="24"/>
      <c r="P4" s="24"/>
      <c r="Q4" s="24"/>
      <c r="R4" s="24"/>
      <c r="S4" s="24"/>
      <c r="T4" s="24"/>
    </row>
    <row r="5" spans="2:25" ht="28.2" customHeight="1" x14ac:dyDescent="0.3">
      <c r="N5" s="27" t="s">
        <v>176</v>
      </c>
      <c r="O5" s="27" t="s">
        <v>177</v>
      </c>
      <c r="P5" s="27" t="s">
        <v>178</v>
      </c>
      <c r="Q5" s="28" t="s">
        <v>179</v>
      </c>
      <c r="R5" s="28" t="s">
        <v>95</v>
      </c>
      <c r="S5" s="28" t="s">
        <v>502</v>
      </c>
      <c r="T5" s="28" t="s">
        <v>504</v>
      </c>
      <c r="U5" s="27" t="s">
        <v>573</v>
      </c>
      <c r="V5" s="27" t="s">
        <v>574</v>
      </c>
      <c r="W5" s="27" t="s">
        <v>575</v>
      </c>
      <c r="X5" s="27" t="s">
        <v>576</v>
      </c>
      <c r="Y5" s="27" t="s">
        <v>577</v>
      </c>
    </row>
    <row r="6" spans="2:25" x14ac:dyDescent="0.3">
      <c r="N6" s="73" t="s">
        <v>182</v>
      </c>
      <c r="O6" s="31" t="str">
        <f>'TABLE DOSEN'!B3</f>
        <v>Anggi Perwitasari, S.T., M.T.</v>
      </c>
      <c r="P6" s="30" t="str">
        <f>'TABLE DOSEN'!C3</f>
        <v>AP</v>
      </c>
      <c r="Q6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7</v>
      </c>
      <c r="R6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4</v>
      </c>
      <c r="S6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2</v>
      </c>
      <c r="T6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4</v>
      </c>
      <c r="U6" s="239">
        <f>COUNTIF('PROGRAM JADWAL GENAP'!Q$7:Q$31,Table4[[#This Row],[Nama Dosen]])+COUNTIF('PROGRAM JADWAL GENAP'!R$7:R$31,Table4[[#This Row],[Nama Dosen]])</f>
        <v>1</v>
      </c>
      <c r="V6" s="239">
        <f>COUNTIF('PROGRAM JADWAL GENAP'!Q$33:Q$56,Table4[[#This Row],[Nama Dosen]])+COUNTIF('PROGRAM JADWAL GENAP'!R$33:R$56,Table4[[#This Row],[Nama Dosen]])</f>
        <v>2</v>
      </c>
      <c r="W6" s="239">
        <f>COUNTIF('PROGRAM JADWAL GENAP'!Q$58:Q$81,Table4[[#This Row],[Nama Dosen]])+COUNTIF('PROGRAM JADWAL GENAP'!R$58:R$81,Table4[[#This Row],[Nama Dosen]])</f>
        <v>1</v>
      </c>
      <c r="X6" s="239">
        <f>COUNTIF('PROGRAM JADWAL GENAP'!Q$84:Q$108,Table4[[#This Row],[Nama Dosen]])+COUNTIF('PROGRAM JADWAL GENAP'!R$84:R$108,Table4[[#This Row],[Nama Dosen]])</f>
        <v>2</v>
      </c>
      <c r="Y6" s="239">
        <f>COUNTIF('PROGRAM JADWAL GENAP'!Q$110:Q$128,Table4[[#This Row],[Nama Dosen]])+COUNTIF('PROGRAM JADWAL GENAP'!R$110:R$128,Table4[[#This Row],[Nama Dosen]])</f>
        <v>0</v>
      </c>
    </row>
    <row r="7" spans="2:25" x14ac:dyDescent="0.3">
      <c r="N7" s="73" t="s">
        <v>183</v>
      </c>
      <c r="O7" s="31" t="str">
        <f>'TABLE DOSEN'!B4</f>
        <v>Anggi Srimurdianti, S.T., M.T.</v>
      </c>
      <c r="P7" s="30" t="str">
        <f>'TABLE DOSEN'!C4</f>
        <v>AS</v>
      </c>
      <c r="Q7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9</v>
      </c>
      <c r="R7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6</v>
      </c>
      <c r="S7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7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6</v>
      </c>
      <c r="U7" s="239">
        <f>COUNTIF('PROGRAM JADWAL GENAP'!Q$7:Q$31,Table4[[#This Row],[Nama Dosen]])+COUNTIF('PROGRAM JADWAL GENAP'!R$7:R$31,Table4[[#This Row],[Nama Dosen]])</f>
        <v>1</v>
      </c>
      <c r="V7" s="239">
        <f>COUNTIF('PROGRAM JADWAL GENAP'!Q$33:Q$56,Table4[[#This Row],[Nama Dosen]])+COUNTIF('PROGRAM JADWAL GENAP'!R$33:R$56,Table4[[#This Row],[Nama Dosen]])</f>
        <v>1</v>
      </c>
      <c r="W7" s="239">
        <f>COUNTIF('PROGRAM JADWAL GENAP'!Q$58:Q$81,Table4[[#This Row],[Nama Dosen]])+COUNTIF('PROGRAM JADWAL GENAP'!R$58:R$81,Table4[[#This Row],[Nama Dosen]])</f>
        <v>1</v>
      </c>
      <c r="X7" s="239">
        <f>COUNTIF('PROGRAM JADWAL GENAP'!Q$84:Q$108,Table4[[#This Row],[Nama Dosen]])+COUNTIF('PROGRAM JADWAL GENAP'!R$84:R$108,Table4[[#This Row],[Nama Dosen]])</f>
        <v>2</v>
      </c>
      <c r="Y7" s="239">
        <f>COUNTIF('PROGRAM JADWAL GENAP'!Q$110:Q$128,Table4[[#This Row],[Nama Dosen]])+COUNTIF('PROGRAM JADWAL GENAP'!R$110:R$128,Table4[[#This Row],[Nama Dosen]])</f>
        <v>1</v>
      </c>
    </row>
    <row r="8" spans="2:25" x14ac:dyDescent="0.3">
      <c r="N8" s="73" t="s">
        <v>184</v>
      </c>
      <c r="O8" s="31" t="str">
        <f>'TABLE DOSEN'!B5</f>
        <v>Dr. Arif BPN, S.T., M.T.</v>
      </c>
      <c r="P8" s="30" t="str">
        <f>'TABLE DOSEN'!C5</f>
        <v>ABP</v>
      </c>
      <c r="Q8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6</v>
      </c>
      <c r="R8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4</v>
      </c>
      <c r="S8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8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4</v>
      </c>
      <c r="U8" s="239">
        <f>COUNTIF('PROGRAM JADWAL GENAP'!Q$7:Q$31,Table4[[#This Row],[Nama Dosen]])+COUNTIF('PROGRAM JADWAL GENAP'!R$7:R$31,Table4[[#This Row],[Nama Dosen]])</f>
        <v>0</v>
      </c>
      <c r="V8" s="239">
        <f>COUNTIF('PROGRAM JADWAL GENAP'!Q$33:Q$56,Table4[[#This Row],[Nama Dosen]])+COUNTIF('PROGRAM JADWAL GENAP'!R$33:R$56,Table4[[#This Row],[Nama Dosen]])</f>
        <v>1</v>
      </c>
      <c r="W8" s="239">
        <f>COUNTIF('PROGRAM JADWAL GENAP'!Q$58:Q$81,Table4[[#This Row],[Nama Dosen]])+COUNTIF('PROGRAM JADWAL GENAP'!R$58:R$81,Table4[[#This Row],[Nama Dosen]])</f>
        <v>1</v>
      </c>
      <c r="X8" s="239">
        <f>COUNTIF('PROGRAM JADWAL GENAP'!Q$84:Q$108,Table4[[#This Row],[Nama Dosen]])+COUNTIF('PROGRAM JADWAL GENAP'!R$84:R$108,Table4[[#This Row],[Nama Dosen]])</f>
        <v>2</v>
      </c>
      <c r="Y8" s="239">
        <f>COUNTIF('PROGRAM JADWAL GENAP'!Q$110:Q$128,Table4[[#This Row],[Nama Dosen]])+COUNTIF('PROGRAM JADWAL GENAP'!R$110:R$128,Table4[[#This Row],[Nama Dosen]])</f>
        <v>0</v>
      </c>
    </row>
    <row r="9" spans="2:25" x14ac:dyDescent="0.3">
      <c r="N9" s="73" t="s">
        <v>185</v>
      </c>
      <c r="O9" s="31" t="str">
        <f>'TABLE DOSEN'!B6</f>
        <v>Dr. Herry Sujaini, S.T., M.T.</v>
      </c>
      <c r="P9" s="30" t="str">
        <f>'TABLE DOSEN'!C6</f>
        <v>HS</v>
      </c>
      <c r="Q9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6</v>
      </c>
      <c r="R9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4</v>
      </c>
      <c r="S9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9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4</v>
      </c>
      <c r="U9" s="239">
        <f>COUNTIF('PROGRAM JADWAL GENAP'!Q$7:Q$31,Table4[[#This Row],[Nama Dosen]])+COUNTIF('PROGRAM JADWAL GENAP'!R$7:R$31,Table4[[#This Row],[Nama Dosen]])</f>
        <v>0</v>
      </c>
      <c r="V9" s="239">
        <f>COUNTIF('PROGRAM JADWAL GENAP'!Q$33:Q$56,Table4[[#This Row],[Nama Dosen]])+COUNTIF('PROGRAM JADWAL GENAP'!R$33:R$56,Table4[[#This Row],[Nama Dosen]])</f>
        <v>1</v>
      </c>
      <c r="W9" s="239">
        <f>COUNTIF('PROGRAM JADWAL GENAP'!Q$58:Q$81,Table4[[#This Row],[Nama Dosen]])+COUNTIF('PROGRAM JADWAL GENAP'!R$58:R$81,Table4[[#This Row],[Nama Dosen]])</f>
        <v>1</v>
      </c>
      <c r="X9" s="239">
        <f>COUNTIF('PROGRAM JADWAL GENAP'!Q$84:Q$108,Table4[[#This Row],[Nama Dosen]])+COUNTIF('PROGRAM JADWAL GENAP'!R$84:R$108,Table4[[#This Row],[Nama Dosen]])</f>
        <v>2</v>
      </c>
      <c r="Y9" s="239">
        <f>COUNTIF('PROGRAM JADWAL GENAP'!Q$110:Q$128,Table4[[#This Row],[Nama Dosen]])+COUNTIF('PROGRAM JADWAL GENAP'!R$110:R$128,Table4[[#This Row],[Nama Dosen]])</f>
        <v>0</v>
      </c>
    </row>
    <row r="10" spans="2:25" x14ac:dyDescent="0.3">
      <c r="N10" s="73" t="s">
        <v>186</v>
      </c>
      <c r="O10" s="31" t="str">
        <f>'TABLE DOSEN'!B7</f>
        <v>Dr. Yus Sholva, S.T., M.T.</v>
      </c>
      <c r="P10" s="30" t="str">
        <f>'TABLE DOSEN'!C7</f>
        <v>YS</v>
      </c>
      <c r="Q10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9</v>
      </c>
      <c r="R10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6</v>
      </c>
      <c r="S10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10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6</v>
      </c>
      <c r="U10" s="239">
        <f>COUNTIF('PROGRAM JADWAL GENAP'!Q$7:Q$31,Table4[[#This Row],[Nama Dosen]])+COUNTIF('PROGRAM JADWAL GENAP'!R$7:R$31,Table4[[#This Row],[Nama Dosen]])</f>
        <v>2</v>
      </c>
      <c r="V10" s="239">
        <f>COUNTIF('PROGRAM JADWAL GENAP'!Q$33:Q$56,Table4[[#This Row],[Nama Dosen]])+COUNTIF('PROGRAM JADWAL GENAP'!R$33:R$56,Table4[[#This Row],[Nama Dosen]])</f>
        <v>0</v>
      </c>
      <c r="W10" s="239">
        <f>COUNTIF('PROGRAM JADWAL GENAP'!Q$58:Q$81,Table4[[#This Row],[Nama Dosen]])+COUNTIF('PROGRAM JADWAL GENAP'!R$58:R$81,Table4[[#This Row],[Nama Dosen]])</f>
        <v>2</v>
      </c>
      <c r="X10" s="239">
        <f>COUNTIF('PROGRAM JADWAL GENAP'!Q$84:Q$108,Table4[[#This Row],[Nama Dosen]])+COUNTIF('PROGRAM JADWAL GENAP'!R$84:R$108,Table4[[#This Row],[Nama Dosen]])</f>
        <v>1</v>
      </c>
      <c r="Y10" s="239">
        <f>COUNTIF('PROGRAM JADWAL GENAP'!Q$110:Q$128,Table4[[#This Row],[Nama Dosen]])+COUNTIF('PROGRAM JADWAL GENAP'!R$110:R$128,Table4[[#This Row],[Nama Dosen]])</f>
        <v>1</v>
      </c>
    </row>
    <row r="11" spans="2:25" x14ac:dyDescent="0.3">
      <c r="N11" s="73" t="s">
        <v>187</v>
      </c>
      <c r="O11" s="31" t="str">
        <f>'TABLE DOSEN'!B8</f>
        <v>Rina Septiriana, S.T., M.Cs.</v>
      </c>
      <c r="P11" s="30" t="str">
        <f>'TABLE DOSEN'!C8</f>
        <v>RS</v>
      </c>
      <c r="Q11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9</v>
      </c>
      <c r="R11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6</v>
      </c>
      <c r="S11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11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6</v>
      </c>
      <c r="U11" s="239">
        <f>COUNTIF('PROGRAM JADWAL GENAP'!Q$7:Q$31,Table4[[#This Row],[Nama Dosen]])+COUNTIF('PROGRAM JADWAL GENAP'!R$7:R$31,Table4[[#This Row],[Nama Dosen]])</f>
        <v>1</v>
      </c>
      <c r="V11" s="239">
        <f>COUNTIF('PROGRAM JADWAL GENAP'!Q$33:Q$56,Table4[[#This Row],[Nama Dosen]])+COUNTIF('PROGRAM JADWAL GENAP'!R$33:R$56,Table4[[#This Row],[Nama Dosen]])</f>
        <v>1</v>
      </c>
      <c r="W11" s="239">
        <f>COUNTIF('PROGRAM JADWAL GENAP'!Q$58:Q$81,Table4[[#This Row],[Nama Dosen]])+COUNTIF('PROGRAM JADWAL GENAP'!R$58:R$81,Table4[[#This Row],[Nama Dosen]])</f>
        <v>2</v>
      </c>
      <c r="X11" s="239">
        <f>COUNTIF('PROGRAM JADWAL GENAP'!Q$84:Q$108,Table4[[#This Row],[Nama Dosen]])+COUNTIF('PROGRAM JADWAL GENAP'!R$84:R$108,Table4[[#This Row],[Nama Dosen]])</f>
        <v>2</v>
      </c>
      <c r="Y11" s="239">
        <f>COUNTIF('PROGRAM JADWAL GENAP'!Q$110:Q$128,Table4[[#This Row],[Nama Dosen]])+COUNTIF('PROGRAM JADWAL GENAP'!R$110:R$128,Table4[[#This Row],[Nama Dosen]])</f>
        <v>0</v>
      </c>
    </row>
    <row r="12" spans="2:25" x14ac:dyDescent="0.3">
      <c r="N12" s="73" t="s">
        <v>188</v>
      </c>
      <c r="O12" s="31" t="str">
        <f>'TABLE DOSEN'!B9</f>
        <v>Enda Esyudha Pratama, S.T., M.T.</v>
      </c>
      <c r="P12" s="30" t="str">
        <f>'TABLE DOSEN'!C9</f>
        <v>EE</v>
      </c>
      <c r="Q12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9</v>
      </c>
      <c r="R12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5</v>
      </c>
      <c r="S12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12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4</v>
      </c>
      <c r="U12" s="239">
        <f>COUNTIF('PROGRAM JADWAL GENAP'!Q$7:Q$31,Table4[[#This Row],[Nama Dosen]])+COUNTIF('PROGRAM JADWAL GENAP'!R$7:R$31,Table4[[#This Row],[Nama Dosen]])</f>
        <v>1</v>
      </c>
      <c r="V12" s="239">
        <f>COUNTIF('PROGRAM JADWAL GENAP'!Q$33:Q$56,Table4[[#This Row],[Nama Dosen]])+COUNTIF('PROGRAM JADWAL GENAP'!R$33:R$56,Table4[[#This Row],[Nama Dosen]])</f>
        <v>1</v>
      </c>
      <c r="W12" s="239">
        <f>COUNTIF('PROGRAM JADWAL GENAP'!Q$58:Q$81,Table4[[#This Row],[Nama Dosen]])+COUNTIF('PROGRAM JADWAL GENAP'!R$58:R$81,Table4[[#This Row],[Nama Dosen]])</f>
        <v>1</v>
      </c>
      <c r="X12" s="239">
        <f>COUNTIF('PROGRAM JADWAL GENAP'!Q$84:Q$108,Table4[[#This Row],[Nama Dosen]])+COUNTIF('PROGRAM JADWAL GENAP'!R$84:R$108,Table4[[#This Row],[Nama Dosen]])</f>
        <v>1</v>
      </c>
      <c r="Y12" s="239">
        <f>COUNTIF('PROGRAM JADWAL GENAP'!Q$110:Q$128,Table4[[#This Row],[Nama Dosen]])+COUNTIF('PROGRAM JADWAL GENAP'!R$110:R$128,Table4[[#This Row],[Nama Dosen]])</f>
        <v>1</v>
      </c>
    </row>
    <row r="13" spans="2:25" x14ac:dyDescent="0.3">
      <c r="N13" s="73" t="s">
        <v>189</v>
      </c>
      <c r="O13" s="31" t="str">
        <f>'TABLE DOSEN'!B10</f>
        <v>Eva Faja Ripanti, S.Kom, MMSI, Ph.D</v>
      </c>
      <c r="P13" s="30" t="str">
        <f>'TABLE DOSEN'!C10</f>
        <v>EFR</v>
      </c>
      <c r="Q13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7</v>
      </c>
      <c r="R13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6</v>
      </c>
      <c r="S13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13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6</v>
      </c>
      <c r="U13" s="239">
        <f>COUNTIF('PROGRAM JADWAL GENAP'!Q$7:Q$31,Table4[[#This Row],[Nama Dosen]])+COUNTIF('PROGRAM JADWAL GENAP'!R$7:R$31,Table4[[#This Row],[Nama Dosen]])</f>
        <v>2</v>
      </c>
      <c r="V13" s="239">
        <f>COUNTIF('PROGRAM JADWAL GENAP'!Q$33:Q$56,Table4[[#This Row],[Nama Dosen]])+COUNTIF('PROGRAM JADWAL GENAP'!R$33:R$56,Table4[[#This Row],[Nama Dosen]])</f>
        <v>1</v>
      </c>
      <c r="W13" s="239">
        <f>COUNTIF('PROGRAM JADWAL GENAP'!Q$58:Q$81,Table4[[#This Row],[Nama Dosen]])+COUNTIF('PROGRAM JADWAL GENAP'!R$58:R$81,Table4[[#This Row],[Nama Dosen]])</f>
        <v>1</v>
      </c>
      <c r="X13" s="239">
        <f>COUNTIF('PROGRAM JADWAL GENAP'!Q$84:Q$108,Table4[[#This Row],[Nama Dosen]])+COUNTIF('PROGRAM JADWAL GENAP'!R$84:R$108,Table4[[#This Row],[Nama Dosen]])</f>
        <v>1</v>
      </c>
      <c r="Y13" s="239">
        <f>COUNTIF('PROGRAM JADWAL GENAP'!Q$110:Q$128,Table4[[#This Row],[Nama Dosen]])+COUNTIF('PROGRAM JADWAL GENAP'!R$110:R$128,Table4[[#This Row],[Nama Dosen]])</f>
        <v>1</v>
      </c>
    </row>
    <row r="14" spans="2:25" x14ac:dyDescent="0.3">
      <c r="N14" s="73" t="s">
        <v>190</v>
      </c>
      <c r="O14" s="31" t="str">
        <f>'TABLE DOSEN'!B11</f>
        <v>H. Hengky Anra, S.T., M.Kom</v>
      </c>
      <c r="P14" s="30" t="str">
        <f>'TABLE DOSEN'!C11</f>
        <v>HA</v>
      </c>
      <c r="Q14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8</v>
      </c>
      <c r="R14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4</v>
      </c>
      <c r="S14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14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0</v>
      </c>
      <c r="U14" s="239">
        <f>COUNTIF('PROGRAM JADWAL GENAP'!Q$7:Q$31,Table4[[#This Row],[Nama Dosen]])+COUNTIF('PROGRAM JADWAL GENAP'!R$7:R$31,Table4[[#This Row],[Nama Dosen]])</f>
        <v>1</v>
      </c>
      <c r="V14" s="239">
        <f>COUNTIF('PROGRAM JADWAL GENAP'!Q$33:Q$56,Table4[[#This Row],[Nama Dosen]])+COUNTIF('PROGRAM JADWAL GENAP'!R$33:R$56,Table4[[#This Row],[Nama Dosen]])</f>
        <v>1</v>
      </c>
      <c r="W14" s="239">
        <f>COUNTIF('PROGRAM JADWAL GENAP'!Q$58:Q$81,Table4[[#This Row],[Nama Dosen]])+COUNTIF('PROGRAM JADWAL GENAP'!R$58:R$81,Table4[[#This Row],[Nama Dosen]])</f>
        <v>0</v>
      </c>
      <c r="X14" s="239">
        <f>COUNTIF('PROGRAM JADWAL GENAP'!Q$84:Q$108,Table4[[#This Row],[Nama Dosen]])+COUNTIF('PROGRAM JADWAL GENAP'!R$84:R$108,Table4[[#This Row],[Nama Dosen]])</f>
        <v>1</v>
      </c>
      <c r="Y14" s="239">
        <f>COUNTIF('PROGRAM JADWAL GENAP'!Q$110:Q$128,Table4[[#This Row],[Nama Dosen]])+COUNTIF('PROGRAM JADWAL GENAP'!R$110:R$128,Table4[[#This Row],[Nama Dosen]])</f>
        <v>1</v>
      </c>
    </row>
    <row r="15" spans="2:25" x14ac:dyDescent="0.3">
      <c r="N15" s="73" t="s">
        <v>191</v>
      </c>
      <c r="O15" s="31" t="str">
        <f>'TABLE DOSEN'!B12</f>
        <v>Hafiz Muhardi, S.T., M.Kom</v>
      </c>
      <c r="P15" s="30" t="str">
        <f>'TABLE DOSEN'!C12</f>
        <v>HM</v>
      </c>
      <c r="Q15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8</v>
      </c>
      <c r="R15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4</v>
      </c>
      <c r="S15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15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0</v>
      </c>
      <c r="U15" s="239">
        <f>COUNTIF('PROGRAM JADWAL GENAP'!Q$7:Q$31,Table4[[#This Row],[Nama Dosen]])+COUNTIF('PROGRAM JADWAL GENAP'!R$7:R$31,Table4[[#This Row],[Nama Dosen]])</f>
        <v>1</v>
      </c>
      <c r="V15" s="239">
        <f>COUNTIF('PROGRAM JADWAL GENAP'!Q$33:Q$56,Table4[[#This Row],[Nama Dosen]])+COUNTIF('PROGRAM JADWAL GENAP'!R$33:R$56,Table4[[#This Row],[Nama Dosen]])</f>
        <v>1</v>
      </c>
      <c r="W15" s="239">
        <f>COUNTIF('PROGRAM JADWAL GENAP'!Q$58:Q$81,Table4[[#This Row],[Nama Dosen]])+COUNTIF('PROGRAM JADWAL GENAP'!R$58:R$81,Table4[[#This Row],[Nama Dosen]])</f>
        <v>0</v>
      </c>
      <c r="X15" s="239">
        <f>COUNTIF('PROGRAM JADWAL GENAP'!Q$84:Q$108,Table4[[#This Row],[Nama Dosen]])+COUNTIF('PROGRAM JADWAL GENAP'!R$84:R$108,Table4[[#This Row],[Nama Dosen]])</f>
        <v>1</v>
      </c>
      <c r="Y15" s="239">
        <f>COUNTIF('PROGRAM JADWAL GENAP'!Q$110:Q$128,Table4[[#This Row],[Nama Dosen]])+COUNTIF('PROGRAM JADWAL GENAP'!R$110:R$128,Table4[[#This Row],[Nama Dosen]])</f>
        <v>1</v>
      </c>
    </row>
    <row r="16" spans="2:25" x14ac:dyDescent="0.3">
      <c r="N16" s="73" t="s">
        <v>192</v>
      </c>
      <c r="O16" s="31" t="str">
        <f>'TABLE DOSEN'!B13</f>
        <v>Haried Novriando, S.Kom, M.Eng</v>
      </c>
      <c r="P16" s="30" t="str">
        <f>'TABLE DOSEN'!C13</f>
        <v>HN</v>
      </c>
      <c r="Q16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9</v>
      </c>
      <c r="R16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5</v>
      </c>
      <c r="S16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3</v>
      </c>
      <c r="T16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5</v>
      </c>
      <c r="U16" s="239">
        <f>COUNTIF('PROGRAM JADWAL GENAP'!Q$7:Q$31,Table4[[#This Row],[Nama Dosen]])+COUNTIF('PROGRAM JADWAL GENAP'!R$7:R$31,Table4[[#This Row],[Nama Dosen]])</f>
        <v>1</v>
      </c>
      <c r="V16" s="239">
        <f>COUNTIF('PROGRAM JADWAL GENAP'!Q$33:Q$56,Table4[[#This Row],[Nama Dosen]])+COUNTIF('PROGRAM JADWAL GENAP'!R$33:R$56,Table4[[#This Row],[Nama Dosen]])</f>
        <v>2</v>
      </c>
      <c r="W16" s="239">
        <f>COUNTIF('PROGRAM JADWAL GENAP'!Q$58:Q$81,Table4[[#This Row],[Nama Dosen]])+COUNTIF('PROGRAM JADWAL GENAP'!R$58:R$81,Table4[[#This Row],[Nama Dosen]])</f>
        <v>2</v>
      </c>
      <c r="X16" s="239">
        <f>COUNTIF('PROGRAM JADWAL GENAP'!Q$84:Q$108,Table4[[#This Row],[Nama Dosen]])+COUNTIF('PROGRAM JADWAL GENAP'!R$84:R$108,Table4[[#This Row],[Nama Dosen]])</f>
        <v>2</v>
      </c>
      <c r="Y16" s="239">
        <f>COUNTIF('PROGRAM JADWAL GENAP'!Q$110:Q$128,Table4[[#This Row],[Nama Dosen]])+COUNTIF('PROGRAM JADWAL GENAP'!R$110:R$128,Table4[[#This Row],[Nama Dosen]])</f>
        <v>1</v>
      </c>
    </row>
    <row r="17" spans="2:25" x14ac:dyDescent="0.3">
      <c r="N17" s="73" t="s">
        <v>193</v>
      </c>
      <c r="O17" s="31" t="str">
        <f>'TABLE DOSEN'!B14</f>
        <v>Helen Sastypratiwi, S.T., M.Eng</v>
      </c>
      <c r="P17" s="30" t="str">
        <f>'TABLE DOSEN'!C14</f>
        <v>HSP</v>
      </c>
      <c r="Q17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9</v>
      </c>
      <c r="R17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5</v>
      </c>
      <c r="S17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3</v>
      </c>
      <c r="T17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5</v>
      </c>
      <c r="U17" s="239">
        <f>COUNTIF('PROGRAM JADWAL GENAP'!Q$7:Q$31,Table4[[#This Row],[Nama Dosen]])+COUNTIF('PROGRAM JADWAL GENAP'!R$7:R$31,Table4[[#This Row],[Nama Dosen]])</f>
        <v>2</v>
      </c>
      <c r="V17" s="239">
        <f>COUNTIF('PROGRAM JADWAL GENAP'!Q$33:Q$56,Table4[[#This Row],[Nama Dosen]])+COUNTIF('PROGRAM JADWAL GENAP'!R$33:R$56,Table4[[#This Row],[Nama Dosen]])</f>
        <v>2</v>
      </c>
      <c r="W17" s="239">
        <f>COUNTIF('PROGRAM JADWAL GENAP'!Q$58:Q$81,Table4[[#This Row],[Nama Dosen]])+COUNTIF('PROGRAM JADWAL GENAP'!R$58:R$81,Table4[[#This Row],[Nama Dosen]])</f>
        <v>2</v>
      </c>
      <c r="X17" s="239">
        <f>COUNTIF('PROGRAM JADWAL GENAP'!Q$84:Q$108,Table4[[#This Row],[Nama Dosen]])+COUNTIF('PROGRAM JADWAL GENAP'!R$84:R$108,Table4[[#This Row],[Nama Dosen]])</f>
        <v>1</v>
      </c>
      <c r="Y17" s="239">
        <f>COUNTIF('PROGRAM JADWAL GENAP'!Q$110:Q$128,Table4[[#This Row],[Nama Dosen]])+COUNTIF('PROGRAM JADWAL GENAP'!R$110:R$128,Table4[[#This Row],[Nama Dosen]])</f>
        <v>1</v>
      </c>
    </row>
    <row r="18" spans="2:25" x14ac:dyDescent="0.3">
      <c r="B18" s="158" t="str">
        <f>("Grafik Jumlah Kelas Dosen "&amp; O2 &amp; " TA "&amp;'SELECT KELAS GASAL'!I3)</f>
        <v>Grafik Jumlah Kelas Dosen Genap TA 2022 - 2023</v>
      </c>
      <c r="N18" s="73" t="s">
        <v>194</v>
      </c>
      <c r="O18" s="31" t="str">
        <f>'TABLE DOSEN'!B15</f>
        <v>Helfi Nasution, S.Kom, M.Cs</v>
      </c>
      <c r="P18" s="30" t="str">
        <f>'TABLE DOSEN'!C15</f>
        <v>HLN</v>
      </c>
      <c r="Q18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12</v>
      </c>
      <c r="R18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4</v>
      </c>
      <c r="S18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18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0</v>
      </c>
      <c r="U18" s="239">
        <f>COUNTIF('PROGRAM JADWAL GENAP'!Q$7:Q$31,Table4[[#This Row],[Nama Dosen]])+COUNTIF('PROGRAM JADWAL GENAP'!R$7:R$31,Table4[[#This Row],[Nama Dosen]])</f>
        <v>2</v>
      </c>
      <c r="V18" s="239">
        <f>COUNTIF('PROGRAM JADWAL GENAP'!Q$33:Q$56,Table4[[#This Row],[Nama Dosen]])+COUNTIF('PROGRAM JADWAL GENAP'!R$33:R$56,Table4[[#This Row],[Nama Dosen]])</f>
        <v>0</v>
      </c>
      <c r="W18" s="239">
        <f>COUNTIF('PROGRAM JADWAL GENAP'!Q$58:Q$81,Table4[[#This Row],[Nama Dosen]])+COUNTIF('PROGRAM JADWAL GENAP'!R$58:R$81,Table4[[#This Row],[Nama Dosen]])</f>
        <v>1</v>
      </c>
      <c r="X18" s="239">
        <f>COUNTIF('PROGRAM JADWAL GENAP'!Q$84:Q$108,Table4[[#This Row],[Nama Dosen]])+COUNTIF('PROGRAM JADWAL GENAP'!R$84:R$108,Table4[[#This Row],[Nama Dosen]])</f>
        <v>0</v>
      </c>
      <c r="Y18" s="239">
        <f>COUNTIF('PROGRAM JADWAL GENAP'!Q$110:Q$128,Table4[[#This Row],[Nama Dosen]])+COUNTIF('PROGRAM JADWAL GENAP'!R$110:R$128,Table4[[#This Row],[Nama Dosen]])</f>
        <v>1</v>
      </c>
    </row>
    <row r="19" spans="2:25" x14ac:dyDescent="0.3">
      <c r="N19" s="73" t="s">
        <v>195</v>
      </c>
      <c r="O19" s="31" t="str">
        <f>'TABLE DOSEN'!B16</f>
        <v>Heri Priyanto,S.T., M.T.</v>
      </c>
      <c r="P19" s="30" t="str">
        <f>'TABLE DOSEN'!C16</f>
        <v>HP</v>
      </c>
      <c r="Q19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10.5</v>
      </c>
      <c r="R19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4</v>
      </c>
      <c r="S19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19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1</v>
      </c>
      <c r="U19" s="239">
        <f>COUNTIF('PROGRAM JADWAL GENAP'!Q$7:Q$31,Table4[[#This Row],[Nama Dosen]])+COUNTIF('PROGRAM JADWAL GENAP'!R$7:R$31,Table4[[#This Row],[Nama Dosen]])</f>
        <v>2</v>
      </c>
      <c r="V19" s="239">
        <f>COUNTIF('PROGRAM JADWAL GENAP'!Q$33:Q$56,Table4[[#This Row],[Nama Dosen]])+COUNTIF('PROGRAM JADWAL GENAP'!R$33:R$56,Table4[[#This Row],[Nama Dosen]])</f>
        <v>0</v>
      </c>
      <c r="W19" s="239">
        <f>COUNTIF('PROGRAM JADWAL GENAP'!Q$58:Q$81,Table4[[#This Row],[Nama Dosen]])+COUNTIF('PROGRAM JADWAL GENAP'!R$58:R$81,Table4[[#This Row],[Nama Dosen]])</f>
        <v>1</v>
      </c>
      <c r="X19" s="239">
        <f>COUNTIF('PROGRAM JADWAL GENAP'!Q$84:Q$108,Table4[[#This Row],[Nama Dosen]])+COUNTIF('PROGRAM JADWAL GENAP'!R$84:R$108,Table4[[#This Row],[Nama Dosen]])</f>
        <v>0</v>
      </c>
      <c r="Y19" s="239">
        <f>COUNTIF('PROGRAM JADWAL GENAP'!Q$110:Q$128,Table4[[#This Row],[Nama Dosen]])+COUNTIF('PROGRAM JADWAL GENAP'!R$110:R$128,Table4[[#This Row],[Nama Dosen]])</f>
        <v>1</v>
      </c>
    </row>
    <row r="20" spans="2:25" x14ac:dyDescent="0.3">
      <c r="N20" s="73" t="s">
        <v>196</v>
      </c>
      <c r="O20" s="31" t="str">
        <f>'TABLE DOSEN'!B17</f>
        <v>M.Azhar Irwansyah, S.T.,M.Eng.</v>
      </c>
      <c r="P20" s="30" t="str">
        <f>'TABLE DOSEN'!C17</f>
        <v>AI</v>
      </c>
      <c r="Q20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9</v>
      </c>
      <c r="R20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6</v>
      </c>
      <c r="S20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20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6</v>
      </c>
      <c r="U20" s="239">
        <f>COUNTIF('PROGRAM JADWAL GENAP'!Q$7:Q$31,Table4[[#This Row],[Nama Dosen]])+COUNTIF('PROGRAM JADWAL GENAP'!R$7:R$31,Table4[[#This Row],[Nama Dosen]])</f>
        <v>2</v>
      </c>
      <c r="V20" s="239">
        <f>COUNTIF('PROGRAM JADWAL GENAP'!Q$33:Q$56,Table4[[#This Row],[Nama Dosen]])+COUNTIF('PROGRAM JADWAL GENAP'!R$33:R$56,Table4[[#This Row],[Nama Dosen]])</f>
        <v>1</v>
      </c>
      <c r="W20" s="239">
        <f>COUNTIF('PROGRAM JADWAL GENAP'!Q$58:Q$81,Table4[[#This Row],[Nama Dosen]])+COUNTIF('PROGRAM JADWAL GENAP'!R$58:R$81,Table4[[#This Row],[Nama Dosen]])</f>
        <v>1</v>
      </c>
      <c r="X20" s="239">
        <f>COUNTIF('PROGRAM JADWAL GENAP'!Q$84:Q$108,Table4[[#This Row],[Nama Dosen]])+COUNTIF('PROGRAM JADWAL GENAP'!R$84:R$108,Table4[[#This Row],[Nama Dosen]])</f>
        <v>1</v>
      </c>
      <c r="Y20" s="239">
        <f>COUNTIF('PROGRAM JADWAL GENAP'!Q$110:Q$128,Table4[[#This Row],[Nama Dosen]])+COUNTIF('PROGRAM JADWAL GENAP'!R$110:R$128,Table4[[#This Row],[Nama Dosen]])</f>
        <v>1</v>
      </c>
    </row>
    <row r="21" spans="2:25" x14ac:dyDescent="0.3">
      <c r="N21" s="73" t="s">
        <v>197</v>
      </c>
      <c r="O21" s="31" t="str">
        <f>'TABLE DOSEN'!B18</f>
        <v>MKU</v>
      </c>
      <c r="P21" s="30" t="str">
        <f>'TABLE DOSEN'!C18</f>
        <v>MKU</v>
      </c>
      <c r="Q21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14</v>
      </c>
      <c r="R21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7</v>
      </c>
      <c r="S21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21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0</v>
      </c>
      <c r="U21" s="239">
        <f>COUNTIF('PROGRAM JADWAL GENAP'!Q$7:Q$31,Table4[[#This Row],[Nama Dosen]])+COUNTIF('PROGRAM JADWAL GENAP'!R$7:R$31,Table4[[#This Row],[Nama Dosen]])</f>
        <v>1</v>
      </c>
      <c r="V21" s="239">
        <f>COUNTIF('PROGRAM JADWAL GENAP'!Q$33:Q$56,Table4[[#This Row],[Nama Dosen]])+COUNTIF('PROGRAM JADWAL GENAP'!R$33:R$56,Table4[[#This Row],[Nama Dosen]])</f>
        <v>1</v>
      </c>
      <c r="W21" s="239">
        <f>COUNTIF('PROGRAM JADWAL GENAP'!Q$58:Q$81,Table4[[#This Row],[Nama Dosen]])+COUNTIF('PROGRAM JADWAL GENAP'!R$58:R$81,Table4[[#This Row],[Nama Dosen]])</f>
        <v>4</v>
      </c>
      <c r="X21" s="239">
        <f>COUNTIF('PROGRAM JADWAL GENAP'!Q$84:Q$108,Table4[[#This Row],[Nama Dosen]])+COUNTIF('PROGRAM JADWAL GENAP'!R$84:R$108,Table4[[#This Row],[Nama Dosen]])</f>
        <v>1</v>
      </c>
      <c r="Y21" s="239">
        <f>COUNTIF('PROGRAM JADWAL GENAP'!Q$110:Q$128,Table4[[#This Row],[Nama Dosen]])+COUNTIF('PROGRAM JADWAL GENAP'!R$110:R$128,Table4[[#This Row],[Nama Dosen]])</f>
        <v>1</v>
      </c>
    </row>
    <row r="22" spans="2:25" x14ac:dyDescent="0.3">
      <c r="N22" s="73" t="s">
        <v>198</v>
      </c>
      <c r="O22" s="31" t="str">
        <f>'TABLE DOSEN'!B19</f>
        <v>Morteza Muthahhari, S.Kom., M.T.I</v>
      </c>
      <c r="P22" s="30" t="str">
        <f>'TABLE DOSEN'!C19</f>
        <v>TZ</v>
      </c>
      <c r="Q22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9</v>
      </c>
      <c r="R22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5</v>
      </c>
      <c r="S22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3</v>
      </c>
      <c r="T22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5</v>
      </c>
      <c r="U22" s="239">
        <f>COUNTIF('PROGRAM JADWAL GENAP'!Q$7:Q$31,Table4[[#This Row],[Nama Dosen]])+COUNTIF('PROGRAM JADWAL GENAP'!R$7:R$31,Table4[[#This Row],[Nama Dosen]])</f>
        <v>2</v>
      </c>
      <c r="V22" s="239">
        <f>COUNTIF('PROGRAM JADWAL GENAP'!Q$33:Q$56,Table4[[#This Row],[Nama Dosen]])+COUNTIF('PROGRAM JADWAL GENAP'!R$33:R$56,Table4[[#This Row],[Nama Dosen]])</f>
        <v>2</v>
      </c>
      <c r="W22" s="239">
        <f>COUNTIF('PROGRAM JADWAL GENAP'!Q$58:Q$81,Table4[[#This Row],[Nama Dosen]])+COUNTIF('PROGRAM JADWAL GENAP'!R$58:R$81,Table4[[#This Row],[Nama Dosen]])</f>
        <v>2</v>
      </c>
      <c r="X22" s="239">
        <f>COUNTIF('PROGRAM JADWAL GENAP'!Q$84:Q$108,Table4[[#This Row],[Nama Dosen]])+COUNTIF('PROGRAM JADWAL GENAP'!R$84:R$108,Table4[[#This Row],[Nama Dosen]])</f>
        <v>1</v>
      </c>
      <c r="Y22" s="239">
        <f>COUNTIF('PROGRAM JADWAL GENAP'!Q$110:Q$128,Table4[[#This Row],[Nama Dosen]])+COUNTIF('PROGRAM JADWAL GENAP'!R$110:R$128,Table4[[#This Row],[Nama Dosen]])</f>
        <v>1</v>
      </c>
    </row>
    <row r="23" spans="2:25" x14ac:dyDescent="0.3">
      <c r="N23" s="73" t="s">
        <v>199</v>
      </c>
      <c r="O23" s="31" t="str">
        <f>'TABLE DOSEN'!B20</f>
        <v>Novi Safriadi, S.T., M.T.</v>
      </c>
      <c r="P23" s="30" t="str">
        <f>'TABLE DOSEN'!C20</f>
        <v>NS</v>
      </c>
      <c r="Q23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10</v>
      </c>
      <c r="R23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6</v>
      </c>
      <c r="S23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2</v>
      </c>
      <c r="T23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5</v>
      </c>
      <c r="U23" s="239">
        <f>COUNTIF('PROGRAM JADWAL GENAP'!Q$7:Q$31,Table4[[#This Row],[Nama Dosen]])+COUNTIF('PROGRAM JADWAL GENAP'!R$7:R$31,Table4[[#This Row],[Nama Dosen]])</f>
        <v>0</v>
      </c>
      <c r="V23" s="239">
        <f>COUNTIF('PROGRAM JADWAL GENAP'!Q$33:Q$56,Table4[[#This Row],[Nama Dosen]])+COUNTIF('PROGRAM JADWAL GENAP'!R$33:R$56,Table4[[#This Row],[Nama Dosen]])</f>
        <v>3</v>
      </c>
      <c r="W23" s="239">
        <f>COUNTIF('PROGRAM JADWAL GENAP'!Q$58:Q$81,Table4[[#This Row],[Nama Dosen]])+COUNTIF('PROGRAM JADWAL GENAP'!R$58:R$81,Table4[[#This Row],[Nama Dosen]])</f>
        <v>2</v>
      </c>
      <c r="X23" s="239">
        <f>COUNTIF('PROGRAM JADWAL GENAP'!Q$84:Q$108,Table4[[#This Row],[Nama Dosen]])+COUNTIF('PROGRAM JADWAL GENAP'!R$84:R$108,Table4[[#This Row],[Nama Dosen]])</f>
        <v>2</v>
      </c>
      <c r="Y23" s="239">
        <f>COUNTIF('PROGRAM JADWAL GENAP'!Q$110:Q$128,Table4[[#This Row],[Nama Dosen]])+COUNTIF('PROGRAM JADWAL GENAP'!R$110:R$128,Table4[[#This Row],[Nama Dosen]])</f>
        <v>1</v>
      </c>
    </row>
    <row r="24" spans="2:25" x14ac:dyDescent="0.3">
      <c r="N24" s="73" t="s">
        <v>200</v>
      </c>
      <c r="O24" s="31" t="str">
        <f>'TABLE DOSEN'!B21</f>
        <v>Rudy Dwi Nyoto, S.T., M.Eng</v>
      </c>
      <c r="P24" s="30" t="str">
        <f>'TABLE DOSEN'!C21</f>
        <v>RDN</v>
      </c>
      <c r="Q24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8</v>
      </c>
      <c r="R24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2</v>
      </c>
      <c r="S24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2</v>
      </c>
      <c r="T24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0</v>
      </c>
      <c r="U24" s="239">
        <f>COUNTIF('PROGRAM JADWAL GENAP'!Q$7:Q$31,Table4[[#This Row],[Nama Dosen]])+COUNTIF('PROGRAM JADWAL GENAP'!R$7:R$31,Table4[[#This Row],[Nama Dosen]])</f>
        <v>1</v>
      </c>
      <c r="V24" s="239">
        <f>COUNTIF('PROGRAM JADWAL GENAP'!Q$33:Q$56,Table4[[#This Row],[Nama Dosen]])+COUNTIF('PROGRAM JADWAL GENAP'!R$33:R$56,Table4[[#This Row],[Nama Dosen]])</f>
        <v>1</v>
      </c>
      <c r="W24" s="239">
        <f>COUNTIF('PROGRAM JADWAL GENAP'!Q$58:Q$81,Table4[[#This Row],[Nama Dosen]])+COUNTIF('PROGRAM JADWAL GENAP'!R$58:R$81,Table4[[#This Row],[Nama Dosen]])</f>
        <v>0</v>
      </c>
      <c r="X24" s="239">
        <f>COUNTIF('PROGRAM JADWAL GENAP'!Q$84:Q$108,Table4[[#This Row],[Nama Dosen]])+COUNTIF('PROGRAM JADWAL GENAP'!R$84:R$108,Table4[[#This Row],[Nama Dosen]])</f>
        <v>1</v>
      </c>
      <c r="Y24" s="239">
        <f>COUNTIF('PROGRAM JADWAL GENAP'!Q$110:Q$128,Table4[[#This Row],[Nama Dosen]])+COUNTIF('PROGRAM JADWAL GENAP'!R$110:R$128,Table4[[#This Row],[Nama Dosen]])</f>
        <v>1</v>
      </c>
    </row>
    <row r="25" spans="2:25" x14ac:dyDescent="0.3">
      <c r="N25" s="73" t="s">
        <v>201</v>
      </c>
      <c r="O25" s="31" t="str">
        <f>'TABLE DOSEN'!B22</f>
        <v>Tursina ST, M.Cs</v>
      </c>
      <c r="P25" s="30" t="str">
        <f>'TABLE DOSEN'!C22</f>
        <v>TR</v>
      </c>
      <c r="Q25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10.5</v>
      </c>
      <c r="R25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4</v>
      </c>
      <c r="S25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25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1</v>
      </c>
      <c r="U25" s="239">
        <f>COUNTIF('PROGRAM JADWAL GENAP'!Q$7:Q$31,Table4[[#This Row],[Nama Dosen]])+COUNTIF('PROGRAM JADWAL GENAP'!R$7:R$31,Table4[[#This Row],[Nama Dosen]])</f>
        <v>0</v>
      </c>
      <c r="V25" s="239">
        <f>COUNTIF('PROGRAM JADWAL GENAP'!Q$33:Q$56,Table4[[#This Row],[Nama Dosen]])+COUNTIF('PROGRAM JADWAL GENAP'!R$33:R$56,Table4[[#This Row],[Nama Dosen]])</f>
        <v>1</v>
      </c>
      <c r="W25" s="239">
        <f>COUNTIF('PROGRAM JADWAL GENAP'!Q$58:Q$81,Table4[[#This Row],[Nama Dosen]])+COUNTIF('PROGRAM JADWAL GENAP'!R$58:R$81,Table4[[#This Row],[Nama Dosen]])</f>
        <v>1</v>
      </c>
      <c r="X25" s="239">
        <f>COUNTIF('PROGRAM JADWAL GENAP'!Q$84:Q$108,Table4[[#This Row],[Nama Dosen]])+COUNTIF('PROGRAM JADWAL GENAP'!R$84:R$108,Table4[[#This Row],[Nama Dosen]])</f>
        <v>2</v>
      </c>
      <c r="Y25" s="239">
        <f>COUNTIF('PROGRAM JADWAL GENAP'!Q$110:Q$128,Table4[[#This Row],[Nama Dosen]])+COUNTIF('PROGRAM JADWAL GENAP'!R$110:R$128,Table4[[#This Row],[Nama Dosen]])</f>
        <v>0</v>
      </c>
    </row>
    <row r="26" spans="2:25" x14ac:dyDescent="0.3">
      <c r="N26" s="73" t="s">
        <v>202</v>
      </c>
      <c r="O26" s="31" t="str">
        <f>'TABLE DOSEN'!B23</f>
        <v>Yulianti,S.Kom, MMSI</v>
      </c>
      <c r="P26" s="30" t="str">
        <f>'TABLE DOSEN'!C23</f>
        <v>YL</v>
      </c>
      <c r="Q26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7</v>
      </c>
      <c r="R26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6</v>
      </c>
      <c r="S26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26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6</v>
      </c>
      <c r="U26" s="239">
        <f>COUNTIF('PROGRAM JADWAL GENAP'!Q$7:Q$31,Table4[[#This Row],[Nama Dosen]])+COUNTIF('PROGRAM JADWAL GENAP'!R$7:R$31,Table4[[#This Row],[Nama Dosen]])</f>
        <v>2</v>
      </c>
      <c r="V26" s="239">
        <f>COUNTIF('PROGRAM JADWAL GENAP'!Q$33:Q$56,Table4[[#This Row],[Nama Dosen]])+COUNTIF('PROGRAM JADWAL GENAP'!R$33:R$56,Table4[[#This Row],[Nama Dosen]])</f>
        <v>1</v>
      </c>
      <c r="W26" s="239">
        <f>COUNTIF('PROGRAM JADWAL GENAP'!Q$58:Q$81,Table4[[#This Row],[Nama Dosen]])+COUNTIF('PROGRAM JADWAL GENAP'!R$58:R$81,Table4[[#This Row],[Nama Dosen]])</f>
        <v>0</v>
      </c>
      <c r="X26" s="239">
        <f>COUNTIF('PROGRAM JADWAL GENAP'!Q$84:Q$108,Table4[[#This Row],[Nama Dosen]])+COUNTIF('PROGRAM JADWAL GENAP'!R$84:R$108,Table4[[#This Row],[Nama Dosen]])</f>
        <v>1</v>
      </c>
      <c r="Y26" s="239">
        <f>COUNTIF('PROGRAM JADWAL GENAP'!Q$110:Q$128,Table4[[#This Row],[Nama Dosen]])+COUNTIF('PROGRAM JADWAL GENAP'!R$110:R$128,Table4[[#This Row],[Nama Dosen]])</f>
        <v>2</v>
      </c>
    </row>
    <row r="27" spans="2:25" x14ac:dyDescent="0.3">
      <c r="N27" s="73" t="s">
        <v>203</v>
      </c>
      <c r="O27" s="31" t="str">
        <f>'TABLE DOSEN'!B24</f>
        <v>Alfian Abdul Jalid, S.Kom., M.Cs.</v>
      </c>
      <c r="P27" s="30" t="str">
        <f>'TABLE DOSEN'!C24</f>
        <v>AAJ</v>
      </c>
      <c r="Q27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9</v>
      </c>
      <c r="R27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6</v>
      </c>
      <c r="S27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27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6</v>
      </c>
      <c r="U27" s="239">
        <f>COUNTIF('PROGRAM JADWAL GENAP'!Q$7:Q$31,Table4[[#This Row],[Nama Dosen]])+COUNTIF('PROGRAM JADWAL GENAP'!R$7:R$31,Table4[[#This Row],[Nama Dosen]])</f>
        <v>1</v>
      </c>
      <c r="V27" s="239">
        <f>COUNTIF('PROGRAM JADWAL GENAP'!Q$33:Q$56,Table4[[#This Row],[Nama Dosen]])+COUNTIF('PROGRAM JADWAL GENAP'!R$33:R$56,Table4[[#This Row],[Nama Dosen]])</f>
        <v>1</v>
      </c>
      <c r="W27" s="239">
        <f>COUNTIF('PROGRAM JADWAL GENAP'!Q$58:Q$81,Table4[[#This Row],[Nama Dosen]])+COUNTIF('PROGRAM JADWAL GENAP'!R$58:R$81,Table4[[#This Row],[Nama Dosen]])</f>
        <v>2</v>
      </c>
      <c r="X27" s="239">
        <f>COUNTIF('PROGRAM JADWAL GENAP'!Q$84:Q$108,Table4[[#This Row],[Nama Dosen]])+COUNTIF('PROGRAM JADWAL GENAP'!R$84:R$108,Table4[[#This Row],[Nama Dosen]])</f>
        <v>2</v>
      </c>
      <c r="Y27" s="239">
        <f>COUNTIF('PROGRAM JADWAL GENAP'!Q$110:Q$128,Table4[[#This Row],[Nama Dosen]])+COUNTIF('PROGRAM JADWAL GENAP'!R$110:R$128,Table4[[#This Row],[Nama Dosen]])</f>
        <v>0</v>
      </c>
    </row>
    <row r="28" spans="2:25" x14ac:dyDescent="0.3">
      <c r="N28" s="73" t="s">
        <v>204</v>
      </c>
      <c r="O28" s="31" t="str">
        <f>'TABLE DOSEN'!B25</f>
        <v>Desepta Isna Ulumi, S.Kom, M.Kom.</v>
      </c>
      <c r="P28" s="30" t="str">
        <f>'TABLE DOSEN'!C25</f>
        <v>DIU</v>
      </c>
      <c r="Q28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10</v>
      </c>
      <c r="R28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6</v>
      </c>
      <c r="S28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2</v>
      </c>
      <c r="T28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6</v>
      </c>
      <c r="U28" s="239">
        <f>COUNTIF('PROGRAM JADWAL GENAP'!Q$7:Q$31,Table4[[#This Row],[Nama Dosen]])+COUNTIF('PROGRAM JADWAL GENAP'!R$7:R$31,Table4[[#This Row],[Nama Dosen]])</f>
        <v>1</v>
      </c>
      <c r="V28" s="239">
        <f>COUNTIF('PROGRAM JADWAL GENAP'!Q$33:Q$56,Table4[[#This Row],[Nama Dosen]])+COUNTIF('PROGRAM JADWAL GENAP'!R$33:R$56,Table4[[#This Row],[Nama Dosen]])</f>
        <v>2</v>
      </c>
      <c r="W28" s="239">
        <f>COUNTIF('PROGRAM JADWAL GENAP'!Q$58:Q$81,Table4[[#This Row],[Nama Dosen]])+COUNTIF('PROGRAM JADWAL GENAP'!R$58:R$81,Table4[[#This Row],[Nama Dosen]])</f>
        <v>2</v>
      </c>
      <c r="X28" s="239">
        <f>COUNTIF('PROGRAM JADWAL GENAP'!Q$84:Q$108,Table4[[#This Row],[Nama Dosen]])+COUNTIF('PROGRAM JADWAL GENAP'!R$84:R$108,Table4[[#This Row],[Nama Dosen]])</f>
        <v>3</v>
      </c>
      <c r="Y28" s="239">
        <f>COUNTIF('PROGRAM JADWAL GENAP'!Q$110:Q$128,Table4[[#This Row],[Nama Dosen]])+COUNTIF('PROGRAM JADWAL GENAP'!R$110:R$128,Table4[[#This Row],[Nama Dosen]])</f>
        <v>0</v>
      </c>
    </row>
    <row r="29" spans="2:25" x14ac:dyDescent="0.3">
      <c r="N29" s="73" t="s">
        <v>205</v>
      </c>
      <c r="O29" s="31" t="str">
        <f>'TABLE DOSEN'!B26</f>
        <v>Fauzan Asrin, S.Kom, M. Kom.</v>
      </c>
      <c r="P29" s="30" t="str">
        <f>'TABLE DOSEN'!C26</f>
        <v>FA</v>
      </c>
      <c r="Q29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9</v>
      </c>
      <c r="R29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5</v>
      </c>
      <c r="S29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3</v>
      </c>
      <c r="T29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5</v>
      </c>
      <c r="U29" s="239">
        <f>COUNTIF('PROGRAM JADWAL GENAP'!Q$7:Q$31,Table4[[#This Row],[Nama Dosen]])+COUNTIF('PROGRAM JADWAL GENAP'!R$7:R$31,Table4[[#This Row],[Nama Dosen]])</f>
        <v>2</v>
      </c>
      <c r="V29" s="239">
        <f>COUNTIF('PROGRAM JADWAL GENAP'!Q$33:Q$56,Table4[[#This Row],[Nama Dosen]])+COUNTIF('PROGRAM JADWAL GENAP'!R$33:R$56,Table4[[#This Row],[Nama Dosen]])</f>
        <v>2</v>
      </c>
      <c r="W29" s="239">
        <f>COUNTIF('PROGRAM JADWAL GENAP'!Q$58:Q$81,Table4[[#This Row],[Nama Dosen]])+COUNTIF('PROGRAM JADWAL GENAP'!R$58:R$81,Table4[[#This Row],[Nama Dosen]])</f>
        <v>1</v>
      </c>
      <c r="X29" s="239">
        <f>COUNTIF('PROGRAM JADWAL GENAP'!Q$84:Q$108,Table4[[#This Row],[Nama Dosen]])+COUNTIF('PROGRAM JADWAL GENAP'!R$84:R$108,Table4[[#This Row],[Nama Dosen]])</f>
        <v>1</v>
      </c>
      <c r="Y29" s="239">
        <f>COUNTIF('PROGRAM JADWAL GENAP'!Q$110:Q$128,Table4[[#This Row],[Nama Dosen]])+COUNTIF('PROGRAM JADWAL GENAP'!R$110:R$128,Table4[[#This Row],[Nama Dosen]])</f>
        <v>2</v>
      </c>
    </row>
    <row r="30" spans="2:25" x14ac:dyDescent="0.3">
      <c r="N30" s="73" t="s">
        <v>206</v>
      </c>
      <c r="O30" s="31" t="str">
        <f>'TABLE DOSEN'!B27</f>
        <v>Khairul Hafidh, S.T., M.Kom.</v>
      </c>
      <c r="P30" s="30" t="str">
        <f>'TABLE DOSEN'!C27</f>
        <v>KH</v>
      </c>
      <c r="Q30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9</v>
      </c>
      <c r="R30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7</v>
      </c>
      <c r="S30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1</v>
      </c>
      <c r="T30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7</v>
      </c>
      <c r="U30" s="239">
        <f>COUNTIF('PROGRAM JADWAL GENAP'!Q$7:Q$31,Table4[[#This Row],[Nama Dosen]])+COUNTIF('PROGRAM JADWAL GENAP'!R$7:R$31,Table4[[#This Row],[Nama Dosen]])</f>
        <v>1</v>
      </c>
      <c r="V30" s="239">
        <f>COUNTIF('PROGRAM JADWAL GENAP'!Q$33:Q$56,Table4[[#This Row],[Nama Dosen]])+COUNTIF('PROGRAM JADWAL GENAP'!R$33:R$56,Table4[[#This Row],[Nama Dosen]])</f>
        <v>2</v>
      </c>
      <c r="W30" s="239">
        <f>COUNTIF('PROGRAM JADWAL GENAP'!Q$58:Q$81,Table4[[#This Row],[Nama Dosen]])+COUNTIF('PROGRAM JADWAL GENAP'!R$58:R$81,Table4[[#This Row],[Nama Dosen]])</f>
        <v>2</v>
      </c>
      <c r="X30" s="239">
        <f>COUNTIF('PROGRAM JADWAL GENAP'!Q$84:Q$108,Table4[[#This Row],[Nama Dosen]])+COUNTIF('PROGRAM JADWAL GENAP'!R$84:R$108,Table4[[#This Row],[Nama Dosen]])</f>
        <v>2</v>
      </c>
      <c r="Y30" s="239">
        <f>COUNTIF('PROGRAM JADWAL GENAP'!Q$110:Q$128,Table4[[#This Row],[Nama Dosen]])+COUNTIF('PROGRAM JADWAL GENAP'!R$110:R$128,Table4[[#This Row],[Nama Dosen]])</f>
        <v>1</v>
      </c>
    </row>
    <row r="31" spans="2:25" x14ac:dyDescent="0.3">
      <c r="N31" s="73" t="s">
        <v>343</v>
      </c>
      <c r="O31" s="31" t="str">
        <f>'TABLE DOSEN'!B28</f>
        <v>Niken Candraningrum, S.T., M.Cs.</v>
      </c>
      <c r="P31" s="30" t="str">
        <f>'TABLE DOSEN'!C28</f>
        <v>NC</v>
      </c>
      <c r="Q31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9</v>
      </c>
      <c r="R31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6</v>
      </c>
      <c r="S31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31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6</v>
      </c>
      <c r="U31" s="239">
        <f>COUNTIF('PROGRAM JADWAL GENAP'!Q$7:Q$31,Table4[[#This Row],[Nama Dosen]])+COUNTIF('PROGRAM JADWAL GENAP'!R$7:R$31,Table4[[#This Row],[Nama Dosen]])</f>
        <v>2</v>
      </c>
      <c r="V31" s="239">
        <f>COUNTIF('PROGRAM JADWAL GENAP'!Q$33:Q$56,Table4[[#This Row],[Nama Dosen]])+COUNTIF('PROGRAM JADWAL GENAP'!R$33:R$56,Table4[[#This Row],[Nama Dosen]])</f>
        <v>0</v>
      </c>
      <c r="W31" s="239">
        <f>COUNTIF('PROGRAM JADWAL GENAP'!Q$58:Q$81,Table4[[#This Row],[Nama Dosen]])+COUNTIF('PROGRAM JADWAL GENAP'!R$58:R$81,Table4[[#This Row],[Nama Dosen]])</f>
        <v>2</v>
      </c>
      <c r="X31" s="239">
        <f>COUNTIF('PROGRAM JADWAL GENAP'!Q$84:Q$108,Table4[[#This Row],[Nama Dosen]])+COUNTIF('PROGRAM JADWAL GENAP'!R$84:R$108,Table4[[#This Row],[Nama Dosen]])</f>
        <v>1</v>
      </c>
      <c r="Y31" s="239">
        <f>COUNTIF('PROGRAM JADWAL GENAP'!Q$110:Q$128,Table4[[#This Row],[Nama Dosen]])+COUNTIF('PROGRAM JADWAL GENAP'!R$110:R$128,Table4[[#This Row],[Nama Dosen]])</f>
        <v>1</v>
      </c>
    </row>
    <row r="32" spans="2:25" x14ac:dyDescent="0.3">
      <c r="N32" s="73" t="s">
        <v>344</v>
      </c>
      <c r="O32" s="31" t="str">
        <f>'TABLE DOSEN'!B29</f>
        <v>Prof. Dr. Eng. Ir. Rudi Kurnianto, S.T., M.T., IPM.</v>
      </c>
      <c r="P32" s="30" t="str">
        <f>'TABLE DOSEN'!C29</f>
        <v>RK</v>
      </c>
      <c r="Q32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1.5</v>
      </c>
      <c r="R32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1</v>
      </c>
      <c r="S32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32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1</v>
      </c>
      <c r="U32" s="239">
        <f>COUNTIF('PROGRAM JADWAL GENAP'!Q$7:Q$31,Table4[[#This Row],[Nama Dosen]])+COUNTIF('PROGRAM JADWAL GENAP'!R$7:R$31,Table4[[#This Row],[Nama Dosen]])</f>
        <v>0</v>
      </c>
      <c r="V32" s="239">
        <f>COUNTIF('PROGRAM JADWAL GENAP'!Q$33:Q$56,Table4[[#This Row],[Nama Dosen]])+COUNTIF('PROGRAM JADWAL GENAP'!R$33:R$56,Table4[[#This Row],[Nama Dosen]])</f>
        <v>0</v>
      </c>
      <c r="W32" s="239">
        <f>COUNTIF('PROGRAM JADWAL GENAP'!Q$58:Q$81,Table4[[#This Row],[Nama Dosen]])+COUNTIF('PROGRAM JADWAL GENAP'!R$58:R$81,Table4[[#This Row],[Nama Dosen]])</f>
        <v>1</v>
      </c>
      <c r="X32" s="239">
        <f>COUNTIF('PROGRAM JADWAL GENAP'!Q$84:Q$108,Table4[[#This Row],[Nama Dosen]])+COUNTIF('PROGRAM JADWAL GENAP'!R$84:R$108,Table4[[#This Row],[Nama Dosen]])</f>
        <v>0</v>
      </c>
      <c r="Y32" s="239">
        <f>COUNTIF('PROGRAM JADWAL GENAP'!Q$110:Q$128,Table4[[#This Row],[Nama Dosen]])+COUNTIF('PROGRAM JADWAL GENAP'!R$110:R$128,Table4[[#This Row],[Nama Dosen]])</f>
        <v>0</v>
      </c>
    </row>
    <row r="33" spans="6:25" x14ac:dyDescent="0.3">
      <c r="F33" s="25" t="s">
        <v>330</v>
      </c>
      <c r="N33" s="73" t="s">
        <v>475</v>
      </c>
      <c r="O33" s="31" t="str">
        <f>'TABLE DOSEN'!B30</f>
        <v>Prof. Dr. -Ing. Seno D. Panjaitan, S.T., M.T., IPM.</v>
      </c>
      <c r="P33" s="30" t="str">
        <f>'TABLE DOSEN'!C30</f>
        <v>SP</v>
      </c>
      <c r="Q33" s="29">
        <f>IF(O$2="Gasal",SUMIF('SELECT KELAS GASAL'!J$9:J$181,Table4[[#This Row],[Kode Dosen]],'SELECT KELAS GASAL'!O$9:O$181)+SUMIF('SELECT KELAS GASAL'!L$9:L$181,Table4[[#This Row],[Kode Dosen]],'SELECT KELAS GASAL'!O$9:O$181),SUMIF('SELECT KELAS GENAP'!J$9:J$181,Table4[[#This Row],[Kode Dosen]],'SELECT KELAS GENAP'!O$9:O$181)+SUMIF('SELECT KELAS GENAP'!L$9:L$181,Table4[[#This Row],[Kode Dosen]],'SELECT KELAS GENAP'!O$9:O$181))</f>
        <v>1.5</v>
      </c>
      <c r="R33" s="113">
        <f>IF(O$2="Gasal",COUNTIF('SELECT KELAS GASAL'!I$9:I$183,Table4[[#This Row],[Nama Dosen]])+COUNTIF('SELECT KELAS GASAL'!K$9:K$183,Table4[[#This Row],[Nama Dosen]]),COUNTIF('SELECT KELAS GENAP'!I$9:I$183,Table4[[#This Row],[Nama Dosen]])+COUNTIF('SELECT KELAS GENAP'!K$9:K$183,Table4[[#This Row],[Nama Dosen]]))</f>
        <v>1</v>
      </c>
      <c r="S33" s="113">
        <f>IF(O$2="Genap",COUNTIF('SELECT KELAS GENAP'!Q$9:Q$183,Table4[[#This Row],[Nama Dosen]])+COUNTIF('SELECT KELAS GENAP'!R$9:R$183,Table4[[#This Row],[Nama Dosen]]),COUNTIF('SELECT KELAS GASAL'!Q$9:Q$183,Table4[[#This Row],[Nama Dosen]])+COUNTIF('SELECT KELAS GASAL'!R$9:R$183,Table4[[#This Row],[Nama Dosen]]))</f>
        <v>0</v>
      </c>
      <c r="T33" s="113">
        <f>IF(O$2="Genap",COUNTIF('SELECT KELAS GENAP'!S$9:S$183,Table4[[#This Row],[Nama Dosen]])+COUNTIF('SELECT KELAS GENAP'!T$9:T$183,Table4[[#This Row],[Nama Dosen]]),COUNTIF('SELECT KELAS GASAL'!S$9:S$183,Table4[[#This Row],[Nama Dosen]])+COUNTIF('SELECT KELAS GASAL'!T$9:T$183,Table4[[#This Row],[Nama Dosen]]))</f>
        <v>1</v>
      </c>
      <c r="U33" s="239">
        <f>COUNTIF('PROGRAM JADWAL GENAP'!Q$7:Q$31,Table4[[#This Row],[Nama Dosen]])+COUNTIF('PROGRAM JADWAL GENAP'!R$7:R$31,Table4[[#This Row],[Nama Dosen]])</f>
        <v>0</v>
      </c>
      <c r="V33" s="239">
        <f>COUNTIF('PROGRAM JADWAL GENAP'!Q$33:Q$56,Table4[[#This Row],[Nama Dosen]])+COUNTIF('PROGRAM JADWAL GENAP'!R$33:R$56,Table4[[#This Row],[Nama Dosen]])</f>
        <v>0</v>
      </c>
      <c r="W33" s="239">
        <f>COUNTIF('PROGRAM JADWAL GENAP'!Q$58:Q$81,Table4[[#This Row],[Nama Dosen]])+COUNTIF('PROGRAM JADWAL GENAP'!R$58:R$81,Table4[[#This Row],[Nama Dosen]])</f>
        <v>0</v>
      </c>
      <c r="X33" s="239">
        <f>COUNTIF('PROGRAM JADWAL GENAP'!Q$84:Q$108,Table4[[#This Row],[Nama Dosen]])+COUNTIF('PROGRAM JADWAL GENAP'!R$84:R$108,Table4[[#This Row],[Nama Dosen]])</f>
        <v>1</v>
      </c>
      <c r="Y33" s="239">
        <f>COUNTIF('PROGRAM JADWAL GENAP'!Q$110:Q$128,Table4[[#This Row],[Nama Dosen]])+COUNTIF('PROGRAM JADWAL GENAP'!R$110:R$128,Table4[[#This Row],[Nama Dosen]])</f>
        <v>0</v>
      </c>
    </row>
  </sheetData>
  <mergeCells count="1">
    <mergeCell ref="B2:I2"/>
  </mergeCells>
  <phoneticPr fontId="15" type="noConversion"/>
  <conditionalFormatting sqref="Q6:Q3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:R3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{9FD53485-87CC-45A6-A5C9-84F92184CFBE}</x14:id>
        </ext>
      </extLst>
    </cfRule>
  </conditionalFormatting>
  <conditionalFormatting sqref="S6:T33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{091006CB-6FA9-4558-8C75-B815BFA5665F}</x14:id>
        </ext>
      </extLst>
    </cfRule>
  </conditionalFormatting>
  <conditionalFormatting sqref="U6:U33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{556DA0DC-250B-478A-95D9-9D8CAE548DED}</x14:id>
        </ext>
      </extLst>
    </cfRule>
  </conditionalFormatting>
  <conditionalFormatting sqref="V6:V33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{E0D2E5E9-05F3-4B67-AD14-D53E2843BD8A}</x14:id>
        </ext>
      </extLst>
    </cfRule>
  </conditionalFormatting>
  <conditionalFormatting sqref="W6:W3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{2B0183DC-56F7-4923-A134-9D950E3E5C75}</x14:id>
        </ext>
      </extLst>
    </cfRule>
  </conditionalFormatting>
  <conditionalFormatting sqref="X6:X33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{6645AF40-DBE9-4D50-B0A8-7A574872ACD6}</x14:id>
        </ext>
      </extLst>
    </cfRule>
  </conditionalFormatting>
  <conditionalFormatting sqref="Y6:Y3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{6E4EEA2D-A0A5-4631-8A20-25F1C137C1BC}</x14:id>
        </ext>
      </extLst>
    </cfRule>
  </conditionalFormatting>
  <pageMargins left="0.7" right="0.7" top="0.75" bottom="0.75" header="0.3" footer="0.3"/>
  <pageSetup paperSize="9" scale="66" orientation="landscape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D53485-87CC-45A6-A5C9-84F92184CF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R6:R33</xm:sqref>
        </x14:conditionalFormatting>
        <x14:conditionalFormatting xmlns:xm="http://schemas.microsoft.com/office/excel/2006/main">
          <x14:cfRule type="dataBar" id="{091006CB-6FA9-4558-8C75-B815BFA566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S6:T33</xm:sqref>
        </x14:conditionalFormatting>
        <x14:conditionalFormatting xmlns:xm="http://schemas.microsoft.com/office/excel/2006/main">
          <x14:cfRule type="dataBar" id="{556DA0DC-250B-478A-95D9-9D8CAE548D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U6:U33</xm:sqref>
        </x14:conditionalFormatting>
        <x14:conditionalFormatting xmlns:xm="http://schemas.microsoft.com/office/excel/2006/main">
          <x14:cfRule type="dataBar" id="{E0D2E5E9-05F3-4B67-AD14-D53E2843BD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V6:V33</xm:sqref>
        </x14:conditionalFormatting>
        <x14:conditionalFormatting xmlns:xm="http://schemas.microsoft.com/office/excel/2006/main">
          <x14:cfRule type="dataBar" id="{2B0183DC-56F7-4923-A134-9D950E3E5C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W6:W33</xm:sqref>
        </x14:conditionalFormatting>
        <x14:conditionalFormatting xmlns:xm="http://schemas.microsoft.com/office/excel/2006/main">
          <x14:cfRule type="dataBar" id="{6645AF40-DBE9-4D50-B0A8-7A574872AC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X6:X33</xm:sqref>
        </x14:conditionalFormatting>
        <x14:conditionalFormatting xmlns:xm="http://schemas.microsoft.com/office/excel/2006/main">
          <x14:cfRule type="dataBar" id="{6E4EEA2D-A0A5-4631-8A20-25F1C137C1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Y6:Y33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50DBCBB-5B50-4608-9B82-D6B90972C6AE}">
          <x14:formula1>
            <xm:f>'TABLE SISTEM'!$A$10:$A$11</xm:f>
          </x14:formula1>
          <xm:sqref>O2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05E-05FF-4501-8C73-59813B644EF6}">
  <sheetPr>
    <tabColor rgb="FF92D050"/>
  </sheetPr>
  <dimension ref="A2:X195"/>
  <sheetViews>
    <sheetView showGridLines="0" topLeftCell="A143" zoomScale="60" zoomScaleNormal="60" workbookViewId="0">
      <selection activeCell="K68" sqref="K68:K69"/>
    </sheetView>
  </sheetViews>
  <sheetFormatPr defaultRowHeight="14.4" x14ac:dyDescent="0.3"/>
  <cols>
    <col min="1" max="1" width="13.6640625" style="12" customWidth="1"/>
    <col min="2" max="2" width="4" style="12" customWidth="1"/>
    <col min="3" max="3" width="32" style="11" customWidth="1"/>
    <col min="4" max="4" width="19.44140625" style="12" customWidth="1"/>
    <col min="5" max="5" width="29.33203125" style="12" bestFit="1" customWidth="1"/>
    <col min="6" max="6" width="6.88671875" style="12" bestFit="1" customWidth="1"/>
    <col min="7" max="7" width="8" style="12" customWidth="1"/>
    <col min="8" max="8" width="10.6640625" style="12" customWidth="1"/>
    <col min="9" max="9" width="35.88671875" style="12" bestFit="1" customWidth="1"/>
    <col min="10" max="10" width="14.6640625" style="12" customWidth="1"/>
    <col min="11" max="11" width="36.21875" style="12" customWidth="1"/>
    <col min="12" max="12" width="13.109375" style="12" customWidth="1"/>
    <col min="13" max="13" width="34.44140625" style="12" customWidth="1"/>
    <col min="14" max="14" width="21.77734375" style="12" customWidth="1"/>
    <col min="15" max="15" width="13.33203125" style="12" customWidth="1"/>
    <col min="16" max="16" width="11.109375" style="12" customWidth="1"/>
    <col min="17" max="20" width="11.109375" style="12" hidden="1" customWidth="1"/>
    <col min="21" max="21" width="3.44140625" style="12" customWidth="1"/>
    <col min="22" max="22" width="35.21875" style="12" customWidth="1"/>
    <col min="23" max="16384" width="8.88671875" style="12"/>
  </cols>
  <sheetData>
    <row r="2" spans="1:24" ht="35.4" x14ac:dyDescent="0.35">
      <c r="A2" s="47"/>
      <c r="C2" s="23" t="s">
        <v>159</v>
      </c>
      <c r="F2" s="54" t="s">
        <v>180</v>
      </c>
      <c r="I2" s="55" t="s">
        <v>181</v>
      </c>
    </row>
    <row r="3" spans="1:24" ht="34.799999999999997" x14ac:dyDescent="0.3">
      <c r="A3" s="46"/>
      <c r="C3" s="23" t="s">
        <v>160</v>
      </c>
    </row>
    <row r="4" spans="1:24" ht="17.399999999999999" x14ac:dyDescent="0.3">
      <c r="C4" s="23"/>
    </row>
    <row r="6" spans="1:24" s="11" customFormat="1" ht="60" customHeight="1" x14ac:dyDescent="0.3">
      <c r="B6" s="32"/>
      <c r="C6" s="58" t="s">
        <v>166</v>
      </c>
      <c r="D6" s="58" t="s">
        <v>149</v>
      </c>
      <c r="E6" s="58" t="s">
        <v>148</v>
      </c>
      <c r="F6" s="58" t="s">
        <v>175</v>
      </c>
      <c r="G6" s="58" t="s">
        <v>83</v>
      </c>
      <c r="H6" s="58" t="s">
        <v>150</v>
      </c>
      <c r="I6" s="58" t="s">
        <v>155</v>
      </c>
      <c r="J6" s="58" t="s">
        <v>151</v>
      </c>
      <c r="K6" s="58" t="s">
        <v>156</v>
      </c>
      <c r="L6" s="58" t="s">
        <v>152</v>
      </c>
      <c r="M6" s="58" t="s">
        <v>153</v>
      </c>
      <c r="N6" s="58" t="s">
        <v>154</v>
      </c>
      <c r="O6" s="58" t="s">
        <v>162</v>
      </c>
      <c r="P6" s="58" t="s">
        <v>158</v>
      </c>
      <c r="Q6" s="258" t="s">
        <v>503</v>
      </c>
      <c r="R6" s="258"/>
      <c r="S6" s="258" t="s">
        <v>505</v>
      </c>
      <c r="T6" s="258"/>
      <c r="U6" s="32" t="s">
        <v>171</v>
      </c>
      <c r="V6" s="32" t="s">
        <v>172</v>
      </c>
      <c r="W6" s="160" t="s">
        <v>426</v>
      </c>
      <c r="X6" s="32"/>
    </row>
    <row r="7" spans="1:24" s="11" customFormat="1" ht="45" customHeight="1" x14ac:dyDescent="0.35">
      <c r="B7" s="32"/>
      <c r="C7" s="65"/>
      <c r="D7" s="41" t="s">
        <v>157</v>
      </c>
      <c r="E7" s="256" t="str">
        <f>'TABLE MK'!J2</f>
        <v>Kewarganegaraan</v>
      </c>
      <c r="F7" s="256"/>
      <c r="G7" s="256"/>
      <c r="H7" s="256"/>
      <c r="I7" s="41" t="s">
        <v>95</v>
      </c>
      <c r="J7" s="40">
        <v>4</v>
      </c>
      <c r="K7" s="42"/>
      <c r="L7" s="43"/>
      <c r="M7" s="43" t="s">
        <v>161</v>
      </c>
      <c r="N7" s="42"/>
      <c r="O7" s="42"/>
      <c r="P7" s="59"/>
      <c r="Q7" s="201"/>
      <c r="R7" s="201"/>
      <c r="S7" s="201"/>
      <c r="T7" s="201"/>
      <c r="X7" s="32"/>
    </row>
    <row r="8" spans="1:24" s="11" customFormat="1" ht="45" customHeight="1" thickBot="1" x14ac:dyDescent="0.35">
      <c r="A8" s="13"/>
      <c r="B8" s="56"/>
      <c r="C8" s="66" t="str">
        <f>IF(OR(I8="",I8="None"),"-",IF(OR(K8="",K8="None"),E8&amp; " "&amp;"SEM-"&amp;F8&amp;" "&amp;"SKS-"&amp;G8&amp;  " "&amp;H8&amp;" "&amp;J8,E8&amp; " "&amp;"SEM-"&amp;F8&amp;" SKS-"&amp;G8&amp;" "&amp;"S"&amp;H8&amp;  " "&amp;H8&amp;" "&amp;J8&amp;"/"&amp;L8))</f>
        <v>Kewarganegaraan SEM-2 SKS-2 A MKU</v>
      </c>
      <c r="D8" s="14" t="str">
        <f>IF(J$7&gt;='TABLE SISTEM'!A$3,'TABLE MK'!I$2,"")</f>
        <v>UMG-55201-104</v>
      </c>
      <c r="E8" s="14" t="str">
        <f>IF(D8="","",(VLOOKUP(D8,Table6[[#All],[Kode MK]:[Mata Kuliah Prasayarat]],2,)))</f>
        <v>Kewarganegaraan</v>
      </c>
      <c r="F8" s="15">
        <f>IF(D8="","",(VLOOKUP(D8,Table6[[#All],[Kode MK]:[Mata Kuliah Prasayarat]],3,)))</f>
        <v>2</v>
      </c>
      <c r="G8" s="15">
        <f>IF(D8="","",(VLOOKUP(D8,Table6[[#All],[Kode MK]:[Mata Kuliah Prasayarat]],4,)))</f>
        <v>2</v>
      </c>
      <c r="H8" s="15" t="str">
        <f>IF(D8="","","A")</f>
        <v>A</v>
      </c>
      <c r="I8" s="39" t="s">
        <v>136</v>
      </c>
      <c r="J8" s="17" t="str">
        <f>IF(I8="","",(VLOOKUP(I8,tbDosen[NAMA DOSEN]:tbDosen[[NAMA DOSEN]:[KODE]],2,)))</f>
        <v>MKU</v>
      </c>
      <c r="K8" s="39" t="s">
        <v>105</v>
      </c>
      <c r="L8" s="17" t="str">
        <f>IF(K8="","",(VLOOKUP(K8,tbDosen[NAMA DOSEN]:tbDosen[[NAMA DOSEN]:[KODE]],2,)))</f>
        <v>-</v>
      </c>
      <c r="M8" s="16" t="str">
        <f>IF(OR(I8="",I8="None"),"",IF(OR(K8="",K8="None"),I8,I8&amp;" / "&amp;K8))</f>
        <v>MKU</v>
      </c>
      <c r="N8" s="16" t="str">
        <f>IF(AND(J8&lt;&gt;"-",L8&lt;&gt;"-"),J8&amp;" / "&amp;L8,IF(AND(J8&lt;&gt;"-",L8="-"),J8,""))</f>
        <v>MKU</v>
      </c>
      <c r="O8" s="18">
        <f>IF(OR(I8="",I8="None"),"",IF(OR(K8="",K8="None"),G8,G8/2))</f>
        <v>2</v>
      </c>
      <c r="P8" s="60" t="str">
        <f>IF(D8="","",(IF(AND(G8=4,U8&lt;2),"ADA",IF(AND(G8&lt;4,U8=0),"ADA","TIDAK"))))</f>
        <v>TIDAK</v>
      </c>
      <c r="Q8" s="203" t="str">
        <f>IF(G8=4,I8,"")</f>
        <v/>
      </c>
      <c r="R8" s="203" t="str">
        <f>IF(G8=4,K8,"")</f>
        <v/>
      </c>
      <c r="S8" s="203" t="str">
        <f>IF(AND(I8&lt;&gt;"None",K8&lt;&gt;"None"),I8,"")</f>
        <v/>
      </c>
      <c r="T8" s="203" t="str">
        <f>IF(AND(I8&lt;&gt;"None",K8&lt;&gt;"None"),K8,"")</f>
        <v/>
      </c>
      <c r="U8" s="11" cm="1">
        <f t="array" ref="U8:U144">COUNTIF('PROGRAM JADWAL GENAP'!F$7:F$128,'SELECT KELAS GENAP'!C$8:C$144)</f>
        <v>1</v>
      </c>
      <c r="V8" s="11" t="str">
        <f>IF(P8="ADA",C8,"")</f>
        <v/>
      </c>
      <c r="W8" s="165">
        <f>IF(U8=1,28,35)</f>
        <v>28</v>
      </c>
      <c r="X8" s="32"/>
    </row>
    <row r="9" spans="1:24" s="11" customFormat="1" ht="45" customHeight="1" thickBot="1" x14ac:dyDescent="0.35">
      <c r="B9" s="32"/>
      <c r="C9" s="66" t="str">
        <f>IF(OR(I9="",I9="None"),"-",IF(OR(K9="",K9="None"),E9&amp; " "&amp;"SEM-"&amp;F9&amp;" "&amp;"SKS-"&amp;G9&amp;  " "&amp;H9&amp;" "&amp;J9,E9&amp; " "&amp;"SEM-"&amp;F9&amp;" SKS-"&amp;G9&amp;" "&amp;"S"&amp;H9&amp;  " "&amp;H9&amp;" "&amp;J9&amp;"/"&amp;L9))</f>
        <v>Kewarganegaraan SEM-2 SKS-2 B MKU</v>
      </c>
      <c r="D9" s="14" t="str">
        <f>IF(J$7&gt;='TABLE SISTEM'!A$4,'TABLE MK'!I$2,"")</f>
        <v>UMG-55201-104</v>
      </c>
      <c r="E9" s="14" t="str">
        <f>IF(D9="","",(VLOOKUP(D9,Table6[[#All],[Kode MK]:[Mata Kuliah Prasayarat]],2,)))</f>
        <v>Kewarganegaraan</v>
      </c>
      <c r="F9" s="15">
        <f>IF(D9="","",(VLOOKUP(D9,Table6[[#All],[Kode MK]:[Mata Kuliah Prasayarat]],3,)))</f>
        <v>2</v>
      </c>
      <c r="G9" s="15">
        <f>IF(D9="","",(VLOOKUP(D9,Table6[[#All],[Kode MK]:[Mata Kuliah Prasayarat]],4,)))</f>
        <v>2</v>
      </c>
      <c r="H9" s="15" t="str">
        <f>IF(D9="","","B")</f>
        <v>B</v>
      </c>
      <c r="I9" s="39" t="s">
        <v>136</v>
      </c>
      <c r="J9" s="17" t="str">
        <f>IF(I9="","",(VLOOKUP(I9,tbDosen[NAMA DOSEN]:tbDosen[[NAMA DOSEN]:[KODE]],2,)))</f>
        <v>MKU</v>
      </c>
      <c r="K9" s="39" t="s">
        <v>105</v>
      </c>
      <c r="L9" s="17" t="str">
        <f>IF(K9="","",(VLOOKUP(K9,tbDosen[NAMA DOSEN]:tbDosen[[NAMA DOSEN]:[KODE]],2,)))</f>
        <v>-</v>
      </c>
      <c r="M9" s="16" t="str">
        <f>IF(OR(I9="",I9="None"),"",IF(OR(K9="",K9="None"),I9,I9&amp;" / "&amp;K9))</f>
        <v>MKU</v>
      </c>
      <c r="N9" s="16" t="str">
        <f t="shared" ref="N9:N72" si="0">IF(AND(J9&lt;&gt;"-",L9&lt;&gt;"-"),J9&amp;" / "&amp;L9,IF(AND(J9&lt;&gt;"-",L9="-"),J9,""))</f>
        <v>MKU</v>
      </c>
      <c r="O9" s="18">
        <f>IF(OR(I9="",I9="None"),"",IF(OR(K9="",K9="None"),G9,G9/2))</f>
        <v>2</v>
      </c>
      <c r="P9" s="61" t="str">
        <f>IF(D9="","",(IF(AND(G9=4,U9&lt;2),"ADA",IF(AND(G9&lt;4,U9=0),"ADA","TIDAK"))))</f>
        <v>TIDAK</v>
      </c>
      <c r="Q9" s="203" t="str">
        <f t="shared" ref="Q9:Q72" si="1">IF(G9=4,I9,"")</f>
        <v/>
      </c>
      <c r="R9" s="203" t="str">
        <f t="shared" ref="R9:R72" si="2">IF(G9=4,K9,"")</f>
        <v/>
      </c>
      <c r="S9" s="203" t="str">
        <f t="shared" ref="S9:S72" si="3">IF(AND(I9&lt;&gt;"None",K9&lt;&gt;"None"),I9,"")</f>
        <v/>
      </c>
      <c r="T9" s="203" t="str">
        <f t="shared" ref="T9:T72" si="4">IF(AND(I9&lt;&gt;"None",K9&lt;&gt;"None"),K9,"")</f>
        <v/>
      </c>
      <c r="U9" s="11">
        <v>1</v>
      </c>
      <c r="V9" s="11" t="str">
        <f t="shared" ref="V9:V72" si="5">IF(P9="ADA",C9,"")</f>
        <v/>
      </c>
      <c r="W9" s="165">
        <f t="shared" ref="W9:W72" si="6">IF(U9=1,28,35)</f>
        <v>28</v>
      </c>
      <c r="X9" s="32"/>
    </row>
    <row r="10" spans="1:24" s="11" customFormat="1" ht="45" customHeight="1" thickBot="1" x14ac:dyDescent="0.35">
      <c r="A10" s="13"/>
      <c r="B10" s="56"/>
      <c r="C10" s="66" t="str">
        <f>IF(OR(I10="",I10="None"),"-",IF(OR(K10="",K10="None"),E10&amp; " "&amp;"SEM-"&amp;F10&amp;" "&amp;"SKS-"&amp;G10&amp;  " "&amp;H10&amp;" "&amp;J10,E10&amp; " "&amp;"SEM-"&amp;F10&amp;" SKS-"&amp;G10&amp;" "&amp;"S"&amp;H10&amp;  " "&amp;H10&amp;" "&amp;J10&amp;"/"&amp;L10))</f>
        <v>Kewarganegaraan SEM-2 SKS-2 C MKU</v>
      </c>
      <c r="D10" s="14" t="str">
        <f>IF(J$7&gt;='TABLE SISTEM'!A$5,'TABLE MK'!I$2,"")</f>
        <v>UMG-55201-104</v>
      </c>
      <c r="E10" s="14" t="str">
        <f>IF(D10="","",(VLOOKUP(D10,Table6[[#All],[Kode MK]:[Mata Kuliah Prasayarat]],2,)))</f>
        <v>Kewarganegaraan</v>
      </c>
      <c r="F10" s="15">
        <f>IF(D10="","",(VLOOKUP(D10,Table6[[#All],[Kode MK]:[Mata Kuliah Prasayarat]],3,)))</f>
        <v>2</v>
      </c>
      <c r="G10" s="15">
        <f>IF(D10="","",(VLOOKUP(D10,Table6[[#All],[Kode MK]:[Mata Kuliah Prasayarat]],4,)))</f>
        <v>2</v>
      </c>
      <c r="H10" s="15" t="str">
        <f>IF(D10="","","C")</f>
        <v>C</v>
      </c>
      <c r="I10" s="39" t="s">
        <v>136</v>
      </c>
      <c r="J10" s="17" t="str">
        <f>IF(I10="","",(VLOOKUP(I10,tbDosen[NAMA DOSEN]:tbDosen[[NAMA DOSEN]:[KODE]],2,)))</f>
        <v>MKU</v>
      </c>
      <c r="K10" s="39" t="s">
        <v>105</v>
      </c>
      <c r="L10" s="17" t="str">
        <f>IF(K10="","",(VLOOKUP(K10,tbDosen[NAMA DOSEN]:tbDosen[[NAMA DOSEN]:[KODE]],2,)))</f>
        <v>-</v>
      </c>
      <c r="M10" s="16" t="str">
        <f>IF(OR(I10="",I10="None"),"",IF(OR(K10="",K10="None"),I10,I10&amp;" / "&amp;K10))</f>
        <v>MKU</v>
      </c>
      <c r="N10" s="16" t="str">
        <f t="shared" si="0"/>
        <v>MKU</v>
      </c>
      <c r="O10" s="18">
        <f>IF(OR(I10="",I10="None"),"",IF(OR(K10="",K10="None"),G10,G10/2))</f>
        <v>2</v>
      </c>
      <c r="P10" s="61" t="str">
        <f>IF(D10="","",(IF(AND(G10=4,U10&lt;2),"ADA",IF(AND(G10&lt;4,U10=0),"ADA","TIDAK"))))</f>
        <v>TIDAK</v>
      </c>
      <c r="Q10" s="203" t="str">
        <f t="shared" si="1"/>
        <v/>
      </c>
      <c r="R10" s="203" t="str">
        <f t="shared" si="2"/>
        <v/>
      </c>
      <c r="S10" s="203" t="str">
        <f t="shared" si="3"/>
        <v/>
      </c>
      <c r="T10" s="203" t="str">
        <f t="shared" si="4"/>
        <v/>
      </c>
      <c r="U10" s="11">
        <v>1</v>
      </c>
      <c r="V10" s="11" t="str">
        <f t="shared" si="5"/>
        <v/>
      </c>
      <c r="W10" s="165">
        <f t="shared" si="6"/>
        <v>28</v>
      </c>
      <c r="X10" s="32"/>
    </row>
    <row r="11" spans="1:24" s="11" customFormat="1" ht="45" customHeight="1" thickBot="1" x14ac:dyDescent="0.35">
      <c r="B11" s="32"/>
      <c r="C11" s="66" t="str">
        <f>IF(OR(I11="",I11="None"),"-",IF(OR(K11="",K11="None"),E11&amp; " "&amp;"SEM-"&amp;F11&amp;" "&amp;"SKS-"&amp;G11&amp;  " "&amp;H11&amp;" "&amp;J11,E11&amp; " "&amp;"SEM-"&amp;F11&amp;" SKS-"&amp;G11&amp;" "&amp;"S"&amp;H11&amp;  " "&amp;H11&amp;" "&amp;J11&amp;"/"&amp;L11))</f>
        <v>Kewarganegaraan SEM-2 SKS-2 D MKU</v>
      </c>
      <c r="D11" s="14" t="str">
        <f>IF(J$7&gt;='TABLE SISTEM'!A$6,'TABLE MK'!I$2,"")</f>
        <v>UMG-55201-104</v>
      </c>
      <c r="E11" s="14" t="str">
        <f>IF(D11="","",(VLOOKUP(D11,Table6[[#All],[Kode MK]:[Mata Kuliah Prasayarat]],2,)))</f>
        <v>Kewarganegaraan</v>
      </c>
      <c r="F11" s="15">
        <f>IF(D11="","",(VLOOKUP(D11,Table6[[#All],[Kode MK]:[Mata Kuliah Prasayarat]],3,)))</f>
        <v>2</v>
      </c>
      <c r="G11" s="15">
        <f>IF(D11="","",(VLOOKUP(D11,Table6[[#All],[Kode MK]:[Mata Kuliah Prasayarat]],4,)))</f>
        <v>2</v>
      </c>
      <c r="H11" s="15" t="str">
        <f>IF(D11="","","D")</f>
        <v>D</v>
      </c>
      <c r="I11" s="39" t="s">
        <v>136</v>
      </c>
      <c r="J11" s="17" t="str">
        <f>IF(I11="","",(VLOOKUP(I11,tbDosen[NAMA DOSEN]:tbDosen[[NAMA DOSEN]:[KODE]],2,)))</f>
        <v>MKU</v>
      </c>
      <c r="K11" s="39" t="s">
        <v>105</v>
      </c>
      <c r="L11" s="17" t="str">
        <f>IF(K11="","",(VLOOKUP(K11,tbDosen[NAMA DOSEN]:tbDosen[[NAMA DOSEN]:[KODE]],2,)))</f>
        <v>-</v>
      </c>
      <c r="M11" s="16" t="str">
        <f>IF(OR(I11="",I11="None"),"",IF(OR(K11="",K11="None"),I11,I11&amp;" / "&amp;K11))</f>
        <v>MKU</v>
      </c>
      <c r="N11" s="16" t="str">
        <f t="shared" si="0"/>
        <v>MKU</v>
      </c>
      <c r="O11" s="18">
        <f>IF(OR(I11="",I11="None"),"",IF(OR(K11="",K11="None"),G11,G11/2))</f>
        <v>2</v>
      </c>
      <c r="P11" s="61" t="str">
        <f>IF(D11="","",(IF(AND(G11=4,U11&lt;2),"ADA",IF(AND(G11&lt;4,U11=0),"ADA","TIDAK"))))</f>
        <v>TIDAK</v>
      </c>
      <c r="Q11" s="203" t="str">
        <f t="shared" si="1"/>
        <v/>
      </c>
      <c r="R11" s="203" t="str">
        <f t="shared" si="2"/>
        <v/>
      </c>
      <c r="S11" s="203" t="str">
        <f t="shared" si="3"/>
        <v/>
      </c>
      <c r="T11" s="203" t="str">
        <f t="shared" si="4"/>
        <v/>
      </c>
      <c r="U11" s="11">
        <v>1</v>
      </c>
      <c r="V11" s="11" t="str">
        <f t="shared" si="5"/>
        <v/>
      </c>
      <c r="W11" s="165">
        <f t="shared" si="6"/>
        <v>28</v>
      </c>
      <c r="X11" s="32"/>
    </row>
    <row r="12" spans="1:24" s="11" customFormat="1" ht="45" customHeight="1" thickBot="1" x14ac:dyDescent="0.35">
      <c r="B12" s="32"/>
      <c r="C12" s="66" t="str">
        <f>IF(OR(I12="",I12="None"),"-",IF(OR(K12="",K12="None"),E12&amp; " "&amp;"SEM-"&amp;F12&amp;" "&amp;"SKS-"&amp;G12&amp;  " "&amp;H12&amp;" "&amp;J12,E12&amp; " "&amp;"SEM-"&amp;F12&amp;" SKS-"&amp;G12&amp;" "&amp;"S"&amp;H12&amp;  " "&amp;H12&amp;" "&amp;J12&amp;"/"&amp;L12))</f>
        <v>-</v>
      </c>
      <c r="D12" s="14" t="str">
        <f>IF(J$7&gt;='TABLE SISTEM'!A$7,'TABLE MK'!I$2,"")</f>
        <v/>
      </c>
      <c r="E12" s="14" t="str">
        <f>IF(D12="","",(VLOOKUP(D12,Table6[[#All],[Kode MK]:[Mata Kuliah Prasayarat]],2,)))</f>
        <v/>
      </c>
      <c r="F12" s="15" t="str">
        <f>IF(D12="","",(VLOOKUP(D12,Table6[[#All],[Kode MK]:[Mata Kuliah Prasayarat]],3,)))</f>
        <v/>
      </c>
      <c r="G12" s="15" t="str">
        <f>IF(D12="","",(VLOOKUP(D12,Table6[[#All],[Kode MK]:[Mata Kuliah Prasayarat]],4,)))</f>
        <v/>
      </c>
      <c r="H12" s="15" t="str">
        <f>IF(D12="","","E")</f>
        <v/>
      </c>
      <c r="I12" s="39" t="s">
        <v>105</v>
      </c>
      <c r="J12" s="17" t="str">
        <f>IF(I12="","",(VLOOKUP(I12,tbDosen[NAMA DOSEN]:tbDosen[[NAMA DOSEN]:[KODE]],2,)))</f>
        <v>-</v>
      </c>
      <c r="K12" s="39" t="s">
        <v>105</v>
      </c>
      <c r="L12" s="17" t="str">
        <f>IF(K12="","",(VLOOKUP(K12,tbDosen[NAMA DOSEN]:tbDosen[[NAMA DOSEN]:[KODE]],2,)))</f>
        <v>-</v>
      </c>
      <c r="M12" s="16" t="str">
        <f>IF(OR(I12="",I12="None"),"",IF(OR(K12="",K12="None"),I12,I12&amp;" / "&amp;K12))</f>
        <v/>
      </c>
      <c r="N12" s="16" t="str">
        <f t="shared" si="0"/>
        <v/>
      </c>
      <c r="O12" s="18" t="str">
        <f>IF(OR(I12="",I12="None"),"",IF(OR(K12="",K12="None"),G12,G12/2))</f>
        <v/>
      </c>
      <c r="P12" s="62" t="str">
        <f>IF(D12="","",(IF(AND(G12=4,U12&lt;2),"ADA",IF(AND(G12&lt;4,U12=0),"ADA","TIDAK"))))</f>
        <v/>
      </c>
      <c r="Q12" s="203" t="str">
        <f t="shared" si="1"/>
        <v/>
      </c>
      <c r="R12" s="203" t="str">
        <f t="shared" si="2"/>
        <v/>
      </c>
      <c r="S12" s="203" t="str">
        <f t="shared" si="3"/>
        <v/>
      </c>
      <c r="T12" s="203" t="str">
        <f t="shared" si="4"/>
        <v/>
      </c>
      <c r="U12" s="11">
        <v>0</v>
      </c>
      <c r="V12" s="11" t="str">
        <f t="shared" si="5"/>
        <v/>
      </c>
      <c r="W12" s="165">
        <f t="shared" si="6"/>
        <v>35</v>
      </c>
      <c r="X12" s="32"/>
    </row>
    <row r="13" spans="1:24" s="11" customFormat="1" ht="45" customHeight="1" x14ac:dyDescent="0.3">
      <c r="B13" s="32"/>
      <c r="C13" s="67"/>
      <c r="D13" s="41" t="s">
        <v>157</v>
      </c>
      <c r="E13" s="256" t="str">
        <f>'TABLE MK'!J3</f>
        <v>Bahasa Indonesia</v>
      </c>
      <c r="F13" s="256"/>
      <c r="G13" s="256"/>
      <c r="H13" s="256"/>
      <c r="I13" s="41" t="s">
        <v>95</v>
      </c>
      <c r="J13" s="40">
        <v>4</v>
      </c>
      <c r="K13" s="42"/>
      <c r="L13" s="43"/>
      <c r="M13" s="43" t="s">
        <v>161</v>
      </c>
      <c r="N13" s="45"/>
      <c r="O13" s="42"/>
      <c r="P13" s="63"/>
      <c r="Q13" s="203" t="str">
        <f t="shared" si="1"/>
        <v/>
      </c>
      <c r="R13" s="203" t="str">
        <f t="shared" si="2"/>
        <v/>
      </c>
      <c r="S13" s="203" t="str">
        <f t="shared" si="3"/>
        <v>Jumlah Kelas</v>
      </c>
      <c r="T13" s="203">
        <f t="shared" si="4"/>
        <v>0</v>
      </c>
      <c r="U13" s="11">
        <v>0</v>
      </c>
      <c r="V13" s="11" t="str">
        <f t="shared" si="5"/>
        <v/>
      </c>
      <c r="W13" s="165">
        <f t="shared" si="6"/>
        <v>35</v>
      </c>
      <c r="X13" s="32"/>
    </row>
    <row r="14" spans="1:24" s="11" customFormat="1" ht="45" customHeight="1" thickBot="1" x14ac:dyDescent="0.35">
      <c r="A14" s="13"/>
      <c r="B14" s="56"/>
      <c r="C14" s="66" t="str">
        <f>IF(OR(I14="",I14="None"),"-",IF(OR(K14="",K14="None"),E14&amp; " "&amp;"SEM-"&amp;F14&amp;" "&amp;"SKS-"&amp;G14&amp;  " "&amp;H14&amp;" "&amp;J14,E14&amp; " "&amp;"SEM-"&amp;F14&amp;" SKS-"&amp;G14&amp;" "&amp;"S"&amp;H14&amp;  " "&amp;H14&amp;" "&amp;J14&amp;"/"&amp;L14))</f>
        <v>Bahasa Indonesia SEM-2 SKS-2 A MKU</v>
      </c>
      <c r="D14" s="102" t="str">
        <f>IF(J$13&gt;='TABLE SISTEM'!A$3,'TABLE MK'!I$3,"")</f>
        <v>UMG-55201-102</v>
      </c>
      <c r="E14" s="14" t="str">
        <f>IF(D14="","",(VLOOKUP(D14,Table6[[#All],[Kode MK]:[Mata Kuliah Prasayarat]],2,)))</f>
        <v>Bahasa Indonesia</v>
      </c>
      <c r="F14" s="15">
        <f>IF(D14="","",(VLOOKUP(D14,Table6[[#All],[Kode MK]:[Mata Kuliah Prasayarat]],3,)))</f>
        <v>2</v>
      </c>
      <c r="G14" s="15">
        <f>IF(D14="","",(VLOOKUP(D14,Table6[[#All],[Kode MK]:[Mata Kuliah Prasayarat]],4,)))</f>
        <v>2</v>
      </c>
      <c r="H14" s="15" t="str">
        <f>IF(D14="","","A")</f>
        <v>A</v>
      </c>
      <c r="I14" s="39" t="s">
        <v>136</v>
      </c>
      <c r="J14" s="17" t="str">
        <f>IF(I14="","",(VLOOKUP(I14,tbDosen[NAMA DOSEN]:tbDosen[[NAMA DOSEN]:[KODE]],2,)))</f>
        <v>MKU</v>
      </c>
      <c r="K14" s="39" t="s">
        <v>105</v>
      </c>
      <c r="L14" s="17" t="str">
        <f>IF(K14="","",(VLOOKUP(K14,tbDosen[NAMA DOSEN]:tbDosen[[NAMA DOSEN]:[KODE]],2,)))</f>
        <v>-</v>
      </c>
      <c r="M14" s="16" t="str">
        <f>IF(OR(I14="",I14="None"),"",IF(OR(K14="",K14="None"),I14,I14&amp;" / "&amp;K14))</f>
        <v>MKU</v>
      </c>
      <c r="N14" s="16" t="str">
        <f t="shared" si="0"/>
        <v>MKU</v>
      </c>
      <c r="O14" s="18">
        <f>IF(OR(I14="",I14="None"),"",IF(OR(K14="",K14="None"),G14,G14/2))</f>
        <v>2</v>
      </c>
      <c r="P14" s="60" t="str">
        <f>IF(D14="","",(IF(AND(G14=4,U14&lt;2),"ADA",IF(AND(G14&lt;4,U14=0),"ADA","TIDAK"))))</f>
        <v>TIDAK</v>
      </c>
      <c r="Q14" s="203" t="str">
        <f t="shared" si="1"/>
        <v/>
      </c>
      <c r="R14" s="203" t="str">
        <f t="shared" si="2"/>
        <v/>
      </c>
      <c r="S14" s="203" t="str">
        <f t="shared" si="3"/>
        <v/>
      </c>
      <c r="T14" s="203" t="str">
        <f t="shared" si="4"/>
        <v/>
      </c>
      <c r="U14" s="11">
        <v>1</v>
      </c>
      <c r="V14" s="11" t="str">
        <f t="shared" si="5"/>
        <v/>
      </c>
      <c r="W14" s="165">
        <f t="shared" si="6"/>
        <v>28</v>
      </c>
      <c r="X14" s="32"/>
    </row>
    <row r="15" spans="1:24" s="11" customFormat="1" ht="45" customHeight="1" thickBot="1" x14ac:dyDescent="0.35">
      <c r="B15" s="32"/>
      <c r="C15" s="66" t="str">
        <f>IF(OR(I15="",I15="None"),"-",IF(OR(K15="",K15="None"),E15&amp; " "&amp;"SEM-"&amp;F15&amp;" "&amp;"SKS-"&amp;G15&amp;  " "&amp;H15&amp;" "&amp;J15,E15&amp; " "&amp;"SEM-"&amp;F15&amp;" SKS-"&amp;G15&amp;" "&amp;"S"&amp;H15&amp;  " "&amp;H15&amp;" "&amp;J15&amp;"/"&amp;L15))</f>
        <v>Bahasa Indonesia SEM-2 SKS-2 B MKU</v>
      </c>
      <c r="D15" s="102" t="str">
        <f>IF(J$13&gt;='TABLE SISTEM'!A$4,'TABLE MK'!I$3,"")</f>
        <v>UMG-55201-102</v>
      </c>
      <c r="E15" s="14" t="str">
        <f>IF(D15="","",(VLOOKUP(D15,Table6[[#All],[Kode MK]:[Mata Kuliah Prasayarat]],2,)))</f>
        <v>Bahasa Indonesia</v>
      </c>
      <c r="F15" s="15">
        <f>IF(D15="","",(VLOOKUP(D15,Table6[[#All],[Kode MK]:[Mata Kuliah Prasayarat]],3,)))</f>
        <v>2</v>
      </c>
      <c r="G15" s="15">
        <f>IF(D15="","",(VLOOKUP(D15,Table6[[#All],[Kode MK]:[Mata Kuliah Prasayarat]],4,)))</f>
        <v>2</v>
      </c>
      <c r="H15" s="15" t="str">
        <f>IF(D15="","","B")</f>
        <v>B</v>
      </c>
      <c r="I15" s="39" t="s">
        <v>136</v>
      </c>
      <c r="J15" s="17" t="str">
        <f>IF(I15="","",(VLOOKUP(I15,tbDosen[NAMA DOSEN]:tbDosen[[NAMA DOSEN]:[KODE]],2,)))</f>
        <v>MKU</v>
      </c>
      <c r="K15" s="39" t="s">
        <v>105</v>
      </c>
      <c r="L15" s="17" t="str">
        <f>IF(K15="","",(VLOOKUP(K15,tbDosen[NAMA DOSEN]:tbDosen[[NAMA DOSEN]:[KODE]],2,)))</f>
        <v>-</v>
      </c>
      <c r="M15" s="16" t="str">
        <f>IF(OR(I15="",I15="None"),"",IF(OR(K15="",K15="None"),I15,I15&amp;" / "&amp;K15))</f>
        <v>MKU</v>
      </c>
      <c r="N15" s="16" t="str">
        <f t="shared" si="0"/>
        <v>MKU</v>
      </c>
      <c r="O15" s="18">
        <f>IF(OR(I15="",I15="None"),"",IF(OR(K15="",K15="None"),G15,G15/2))</f>
        <v>2</v>
      </c>
      <c r="P15" s="61" t="str">
        <f t="shared" ref="P15:P78" si="7">IF(D15="","",(IF(AND(G15=4,U15&lt;2),"ADA",IF(AND(G15&lt;4,U15=0),"ADA","TIDAK"))))</f>
        <v>TIDAK</v>
      </c>
      <c r="Q15" s="203" t="str">
        <f t="shared" si="1"/>
        <v/>
      </c>
      <c r="R15" s="203" t="str">
        <f t="shared" si="2"/>
        <v/>
      </c>
      <c r="S15" s="203" t="str">
        <f t="shared" si="3"/>
        <v/>
      </c>
      <c r="T15" s="203" t="str">
        <f t="shared" si="4"/>
        <v/>
      </c>
      <c r="U15" s="11">
        <v>1</v>
      </c>
      <c r="V15" s="11" t="str">
        <f t="shared" si="5"/>
        <v/>
      </c>
      <c r="W15" s="165">
        <f t="shared" si="6"/>
        <v>28</v>
      </c>
      <c r="X15" s="32"/>
    </row>
    <row r="16" spans="1:24" s="11" customFormat="1" ht="45" customHeight="1" thickBot="1" x14ac:dyDescent="0.35">
      <c r="A16" s="13"/>
      <c r="B16" s="56"/>
      <c r="C16" s="66" t="str">
        <f>IF(OR(I16="",I16="None"),"-",IF(OR(K16="",K16="None"),E16&amp; " "&amp;"SEM-"&amp;F16&amp;" "&amp;"SKS-"&amp;G16&amp;  " "&amp;H16&amp;" "&amp;J16,E16&amp; " "&amp;"SEM-"&amp;F16&amp;" SKS-"&amp;G16&amp;" "&amp;"S"&amp;H16&amp;  " "&amp;H16&amp;" "&amp;J16&amp;"/"&amp;L16))</f>
        <v>Bahasa Indonesia SEM-2 SKS-2 C MKU</v>
      </c>
      <c r="D16" s="102" t="str">
        <f>IF(J$13&gt;='TABLE SISTEM'!A$5,'TABLE MK'!I$3,"")</f>
        <v>UMG-55201-102</v>
      </c>
      <c r="E16" s="14" t="str">
        <f>IF(D16="","",(VLOOKUP(D16,Table6[[#All],[Kode MK]:[Mata Kuliah Prasayarat]],2,)))</f>
        <v>Bahasa Indonesia</v>
      </c>
      <c r="F16" s="15">
        <f>IF(D16="","",(VLOOKUP(D16,Table6[[#All],[Kode MK]:[Mata Kuliah Prasayarat]],3,)))</f>
        <v>2</v>
      </c>
      <c r="G16" s="15">
        <f>IF(D16="","",(VLOOKUP(D16,Table6[[#All],[Kode MK]:[Mata Kuliah Prasayarat]],4,)))</f>
        <v>2</v>
      </c>
      <c r="H16" s="15" t="str">
        <f>IF(D16="","","C")</f>
        <v>C</v>
      </c>
      <c r="I16" s="39" t="s">
        <v>136</v>
      </c>
      <c r="J16" s="17" t="str">
        <f>IF(I16="","",(VLOOKUP(I16,tbDosen[NAMA DOSEN]:tbDosen[[NAMA DOSEN]:[KODE]],2,)))</f>
        <v>MKU</v>
      </c>
      <c r="K16" s="39" t="s">
        <v>105</v>
      </c>
      <c r="L16" s="17" t="str">
        <f>IF(K16="","",(VLOOKUP(K16,tbDosen[NAMA DOSEN]:tbDosen[[NAMA DOSEN]:[KODE]],2,)))</f>
        <v>-</v>
      </c>
      <c r="M16" s="16" t="str">
        <f>IF(OR(I16="",I16="None"),"",IF(OR(K16="",K16="None"),I16,I16&amp;" / "&amp;K16))</f>
        <v>MKU</v>
      </c>
      <c r="N16" s="16" t="str">
        <f t="shared" si="0"/>
        <v>MKU</v>
      </c>
      <c r="O16" s="18">
        <f>IF(OR(I16="",I16="None"),"",IF(OR(K16="",K16="None"),G16,G16/2))</f>
        <v>2</v>
      </c>
      <c r="P16" s="61" t="str">
        <f t="shared" si="7"/>
        <v>TIDAK</v>
      </c>
      <c r="Q16" s="203" t="str">
        <f t="shared" si="1"/>
        <v/>
      </c>
      <c r="R16" s="203" t="str">
        <f t="shared" si="2"/>
        <v/>
      </c>
      <c r="S16" s="203" t="str">
        <f t="shared" si="3"/>
        <v/>
      </c>
      <c r="T16" s="203" t="str">
        <f t="shared" si="4"/>
        <v/>
      </c>
      <c r="U16" s="11">
        <v>1</v>
      </c>
      <c r="V16" s="11" t="str">
        <f t="shared" si="5"/>
        <v/>
      </c>
      <c r="W16" s="165">
        <f t="shared" si="6"/>
        <v>28</v>
      </c>
      <c r="X16" s="32"/>
    </row>
    <row r="17" spans="2:24" s="11" customFormat="1" ht="45" customHeight="1" thickBot="1" x14ac:dyDescent="0.35">
      <c r="B17" s="32"/>
      <c r="C17" s="66" t="str">
        <f>IF(OR(I17="",I17="None"),"-",IF(OR(K17="",K17="None"),E17&amp; " "&amp;"SEM-"&amp;F17&amp;" "&amp;"SKS-"&amp;G17&amp;  " "&amp;H17&amp;" "&amp;J17,E17&amp; " "&amp;"SEM-"&amp;F17&amp;" SKS-"&amp;G17&amp;" "&amp;"S"&amp;H17&amp;  " "&amp;H17&amp;" "&amp;J17&amp;"/"&amp;L17))</f>
        <v>Bahasa Indonesia SEM-2 SKS-2 D MKU</v>
      </c>
      <c r="D17" s="102" t="str">
        <f>IF(J$13&gt;='TABLE SISTEM'!A$6,'TABLE MK'!I$3,"")</f>
        <v>UMG-55201-102</v>
      </c>
      <c r="E17" s="14" t="str">
        <f>IF(D17="","",(VLOOKUP(D17,Table6[[#All],[Kode MK]:[Mata Kuliah Prasayarat]],2,)))</f>
        <v>Bahasa Indonesia</v>
      </c>
      <c r="F17" s="15">
        <f>IF(D17="","",(VLOOKUP(D17,Table6[[#All],[Kode MK]:[Mata Kuliah Prasayarat]],3,)))</f>
        <v>2</v>
      </c>
      <c r="G17" s="15">
        <f>IF(D17="","",(VLOOKUP(D17,Table6[[#All],[Kode MK]:[Mata Kuliah Prasayarat]],4,)))</f>
        <v>2</v>
      </c>
      <c r="H17" s="15" t="str">
        <f>IF(D17="","","D")</f>
        <v>D</v>
      </c>
      <c r="I17" s="39" t="s">
        <v>136</v>
      </c>
      <c r="J17" s="17" t="str">
        <f>IF(I17="","",(VLOOKUP(I17,tbDosen[NAMA DOSEN]:tbDosen[[NAMA DOSEN]:[KODE]],2,)))</f>
        <v>MKU</v>
      </c>
      <c r="K17" s="39" t="s">
        <v>105</v>
      </c>
      <c r="L17" s="17" t="str">
        <f>IF(K17="","",(VLOOKUP(K17,tbDosen[NAMA DOSEN]:tbDosen[[NAMA DOSEN]:[KODE]],2,)))</f>
        <v>-</v>
      </c>
      <c r="M17" s="16" t="str">
        <f>IF(OR(I17="",I17="None"),"",IF(OR(K17="",K17="None"),I17,I17&amp;" / "&amp;K17))</f>
        <v>MKU</v>
      </c>
      <c r="N17" s="16" t="str">
        <f t="shared" si="0"/>
        <v>MKU</v>
      </c>
      <c r="O17" s="18">
        <f>IF(OR(I17="",I17="None"),"",IF(OR(K17="",K17="None"),G17,G17/2))</f>
        <v>2</v>
      </c>
      <c r="P17" s="61" t="str">
        <f t="shared" si="7"/>
        <v>TIDAK</v>
      </c>
      <c r="Q17" s="203" t="str">
        <f t="shared" si="1"/>
        <v/>
      </c>
      <c r="R17" s="203" t="str">
        <f t="shared" si="2"/>
        <v/>
      </c>
      <c r="S17" s="203" t="str">
        <f t="shared" si="3"/>
        <v/>
      </c>
      <c r="T17" s="203" t="str">
        <f t="shared" si="4"/>
        <v/>
      </c>
      <c r="U17" s="11">
        <v>1</v>
      </c>
      <c r="V17" s="11" t="str">
        <f t="shared" si="5"/>
        <v/>
      </c>
      <c r="W17" s="165">
        <f t="shared" si="6"/>
        <v>28</v>
      </c>
      <c r="X17" s="32"/>
    </row>
    <row r="18" spans="2:24" s="11" customFormat="1" ht="45" customHeight="1" thickBot="1" x14ac:dyDescent="0.35">
      <c r="B18" s="32"/>
      <c r="C18" s="66" t="str">
        <f>IF(OR(I18="",I18="None"),"-",IF(OR(K18="",K18="None"),E18&amp; " "&amp;"SEM-"&amp;F18&amp;" "&amp;"SKS-"&amp;G18&amp;  " "&amp;H18&amp;" "&amp;J18,E18&amp; " "&amp;"SEM-"&amp;F18&amp;" SKS-"&amp;G18&amp;" "&amp;"S"&amp;H18&amp;  " "&amp;H18&amp;" "&amp;J18&amp;"/"&amp;L18))</f>
        <v>-</v>
      </c>
      <c r="D18" s="102" t="str">
        <f>IF(J$13&gt;='TABLE SISTEM'!A$7,'TABLE MK'!I$3,"")</f>
        <v/>
      </c>
      <c r="E18" s="14" t="str">
        <f>IF(D18="","",(VLOOKUP(D18,Table6[[#All],[Kode MK]:[Mata Kuliah Prasayarat]],2,)))</f>
        <v/>
      </c>
      <c r="F18" s="15" t="str">
        <f>IF(D18="","",(VLOOKUP(D18,Table6[[#All],[Kode MK]:[Mata Kuliah Prasayarat]],3,)))</f>
        <v/>
      </c>
      <c r="G18" s="15" t="str">
        <f>IF(D18="","",(VLOOKUP(D18,Table6[[#All],[Kode MK]:[Mata Kuliah Prasayarat]],4,)))</f>
        <v/>
      </c>
      <c r="H18" s="15" t="str">
        <f>IF(D18="","","E")</f>
        <v/>
      </c>
      <c r="I18" s="39" t="s">
        <v>105</v>
      </c>
      <c r="J18" s="17" t="str">
        <f>IF(I18="","",(VLOOKUP(I18,tbDosen[NAMA DOSEN]:tbDosen[[NAMA DOSEN]:[KODE]],2,)))</f>
        <v>-</v>
      </c>
      <c r="K18" s="39" t="s">
        <v>105</v>
      </c>
      <c r="L18" s="17" t="str">
        <f>IF(K18="","",(VLOOKUP(K18,tbDosen[NAMA DOSEN]:tbDosen[[NAMA DOSEN]:[KODE]],2,)))</f>
        <v>-</v>
      </c>
      <c r="M18" s="16" t="str">
        <f>IF(OR(I18="",I18="None"),"",IF(OR(K18="",K18="None"),I18,I18&amp;" / "&amp;K18))</f>
        <v/>
      </c>
      <c r="N18" s="16" t="str">
        <f t="shared" si="0"/>
        <v/>
      </c>
      <c r="O18" s="18" t="str">
        <f>IF(OR(I18="",I18="None"),"",IF(OR(K18="",K18="None"),G18,G18/2))</f>
        <v/>
      </c>
      <c r="P18" s="62" t="str">
        <f t="shared" si="7"/>
        <v/>
      </c>
      <c r="Q18" s="203" t="str">
        <f t="shared" si="1"/>
        <v/>
      </c>
      <c r="R18" s="203" t="str">
        <f t="shared" si="2"/>
        <v/>
      </c>
      <c r="S18" s="203" t="str">
        <f t="shared" si="3"/>
        <v/>
      </c>
      <c r="T18" s="203" t="str">
        <f t="shared" si="4"/>
        <v/>
      </c>
      <c r="U18" s="11">
        <v>0</v>
      </c>
      <c r="V18" s="11" t="str">
        <f t="shared" si="5"/>
        <v/>
      </c>
      <c r="W18" s="165">
        <f t="shared" si="6"/>
        <v>35</v>
      </c>
      <c r="X18" s="32"/>
    </row>
    <row r="19" spans="2:24" s="11" customFormat="1" ht="45" customHeight="1" x14ac:dyDescent="0.3">
      <c r="B19" s="32"/>
      <c r="C19" s="67"/>
      <c r="D19" s="41" t="s">
        <v>157</v>
      </c>
      <c r="E19" s="256" t="str">
        <f>'TABLE MK'!J4</f>
        <v>Probabilitas  dan  Statistik  </v>
      </c>
      <c r="F19" s="256"/>
      <c r="G19" s="256"/>
      <c r="H19" s="256"/>
      <c r="I19" s="41" t="s">
        <v>95</v>
      </c>
      <c r="J19" s="40">
        <v>4</v>
      </c>
      <c r="K19" s="42"/>
      <c r="L19" s="43"/>
      <c r="M19" s="43" t="s">
        <v>161</v>
      </c>
      <c r="N19" s="45"/>
      <c r="O19" s="42"/>
      <c r="P19" s="63"/>
      <c r="Q19" s="203" t="str">
        <f t="shared" si="1"/>
        <v/>
      </c>
      <c r="R19" s="203" t="str">
        <f t="shared" si="2"/>
        <v/>
      </c>
      <c r="S19" s="203" t="str">
        <f t="shared" si="3"/>
        <v>Jumlah Kelas</v>
      </c>
      <c r="T19" s="203">
        <f t="shared" si="4"/>
        <v>0</v>
      </c>
      <c r="U19" s="11">
        <v>0</v>
      </c>
      <c r="V19" s="11" t="str">
        <f t="shared" si="5"/>
        <v/>
      </c>
      <c r="W19" s="165">
        <f t="shared" si="6"/>
        <v>35</v>
      </c>
      <c r="X19" s="32"/>
    </row>
    <row r="20" spans="2:24" s="11" customFormat="1" ht="45" customHeight="1" thickBot="1" x14ac:dyDescent="0.35">
      <c r="B20" s="32"/>
      <c r="C20" s="66" t="str">
        <f>IF(OR(I20="",I20="None"),"-",IF(OR(K20="",K20="None"),E20&amp; " "&amp;"SEM-"&amp;F20&amp;" "&amp;"SKS-"&amp;G20&amp;  " "&amp;H20&amp;" "&amp;J20,E20&amp; " "&amp;"SEM-"&amp;F20&amp;" SKS-"&amp;G20&amp;" "&amp;"S"&amp;H20&amp;  " "&amp;H20&amp;" "&amp;J20&amp;"/"&amp;L20))</f>
        <v>Probabilitas  dan  Statistik   SEM-2 SKS-3 SA A HSP/RS</v>
      </c>
      <c r="D20" s="14" t="str">
        <f>IF(J$19&gt;='TABLE SISTEM'!A$3,'TABLE MK'!I$4,"")</f>
        <v>INF-55201-105</v>
      </c>
      <c r="E20" s="14" t="str">
        <f>IF(D20="","",(VLOOKUP(D20,Table6[[#All],[Kode MK]:[Mata Kuliah Prasayarat]],2,)))</f>
        <v>Probabilitas  dan  Statistik  </v>
      </c>
      <c r="F20" s="15">
        <f>IF(D20="","",(VLOOKUP(D20,Table6[[#All],[Kode MK]:[Mata Kuliah Prasayarat]],3,)))</f>
        <v>2</v>
      </c>
      <c r="G20" s="15">
        <f>IF(D20="","",(VLOOKUP(D20,Table6[[#All],[Kode MK]:[Mata Kuliah Prasayarat]],4,)))</f>
        <v>3</v>
      </c>
      <c r="H20" s="15" t="str">
        <f>IF(D20="","","A")</f>
        <v>A</v>
      </c>
      <c r="I20" s="39" t="s">
        <v>128</v>
      </c>
      <c r="J20" s="17" t="str">
        <f>IF(I20="","",(VLOOKUP(I20,tbDosen[NAMA DOSEN]:tbDosen[[NAMA DOSEN]:[KODE]],2,)))</f>
        <v>HSP</v>
      </c>
      <c r="K20" s="39" t="s">
        <v>117</v>
      </c>
      <c r="L20" s="17" t="str">
        <f>IF(K20="","",(VLOOKUP(K20,tbDosen[NAMA DOSEN]:tbDosen[[NAMA DOSEN]:[KODE]],2,)))</f>
        <v>RS</v>
      </c>
      <c r="M20" s="16" t="str">
        <f>IF(OR(I20="",I20="None"),"",IF(OR(K20="",K20="None"),I20,I20&amp;" / "&amp;K20))</f>
        <v>Helen Sastypratiwi, S.T., M.Eng / Rina Septiriana, S.T., M.Cs.</v>
      </c>
      <c r="N20" s="16" t="str">
        <f t="shared" si="0"/>
        <v>HSP / RS</v>
      </c>
      <c r="O20" s="18">
        <f>IF(OR(I20="",I20="None"),"",IF(OR(K20="",K20="None"),G20,G20/2))</f>
        <v>1.5</v>
      </c>
      <c r="P20" s="60" t="str">
        <f t="shared" si="7"/>
        <v>TIDAK</v>
      </c>
      <c r="Q20" s="203" t="str">
        <f t="shared" si="1"/>
        <v/>
      </c>
      <c r="R20" s="203" t="str">
        <f t="shared" si="2"/>
        <v/>
      </c>
      <c r="S20" s="203" t="str">
        <f t="shared" si="3"/>
        <v>Helen Sastypratiwi, S.T., M.Eng</v>
      </c>
      <c r="T20" s="203" t="str">
        <f t="shared" si="4"/>
        <v>Rina Septiriana, S.T., M.Cs.</v>
      </c>
      <c r="U20" s="11">
        <v>1</v>
      </c>
      <c r="V20" s="11" t="str">
        <f t="shared" si="5"/>
        <v/>
      </c>
      <c r="W20" s="165">
        <f t="shared" si="6"/>
        <v>28</v>
      </c>
      <c r="X20" s="32"/>
    </row>
    <row r="21" spans="2:24" s="11" customFormat="1" ht="45" customHeight="1" thickBot="1" x14ac:dyDescent="0.35">
      <c r="B21" s="32"/>
      <c r="C21" s="66" t="str">
        <f>IF(OR(I21="",I21="None"),"-",IF(OR(K21="",K21="None"),E21&amp; " "&amp;"SEM-"&amp;F21&amp;" "&amp;"SKS-"&amp;G21&amp;  " "&amp;H21&amp;" "&amp;J21,E21&amp; " "&amp;"SEM-"&amp;F21&amp;" SKS-"&amp;G21&amp;" "&amp;"S"&amp;H21&amp;  " "&amp;H21&amp;" "&amp;J21&amp;"/"&amp;L21))</f>
        <v>Probabilitas  dan  Statistik   SEM-2 SKS-3 SB B YL/NC</v>
      </c>
      <c r="D21" s="14" t="str">
        <f>IF(J$19&gt;='TABLE SISTEM'!A$4,'TABLE MK'!I$4,"")</f>
        <v>INF-55201-105</v>
      </c>
      <c r="E21" s="14" t="str">
        <f>IF(D21="","",(VLOOKUP(D21,Table6[[#All],[Kode MK]:[Mata Kuliah Prasayarat]],2,)))</f>
        <v>Probabilitas  dan  Statistik  </v>
      </c>
      <c r="F21" s="15">
        <f>IF(D21="","",(VLOOKUP(D21,Table6[[#All],[Kode MK]:[Mata Kuliah Prasayarat]],3,)))</f>
        <v>2</v>
      </c>
      <c r="G21" s="15">
        <f>IF(D21="","",(VLOOKUP(D21,Table6[[#All],[Kode MK]:[Mata Kuliah Prasayarat]],4,)))</f>
        <v>3</v>
      </c>
      <c r="H21" s="15" t="str">
        <f>IF(D21="","","B")</f>
        <v>B</v>
      </c>
      <c r="I21" s="39" t="s">
        <v>145</v>
      </c>
      <c r="J21" s="17" t="str">
        <f>IF(I21="","",(VLOOKUP(I21,tbDosen[NAMA DOSEN]:tbDosen[[NAMA DOSEN]:[KODE]],2,)))</f>
        <v>YL</v>
      </c>
      <c r="K21" s="39" t="s">
        <v>338</v>
      </c>
      <c r="L21" s="17" t="str">
        <f>IF(K21="","",(VLOOKUP(K21,tbDosen[NAMA DOSEN]:tbDosen[[NAMA DOSEN]:[KODE]],2,)))</f>
        <v>NC</v>
      </c>
      <c r="M21" s="16" t="str">
        <f>IF(OR(I21="",I21="None"),"",IF(OR(K21="",K21="None"),I21,I21&amp;" / "&amp;K21))</f>
        <v>Yulianti,S.Kom, MMSI / Niken Candraningrum, S.T., M.Cs.</v>
      </c>
      <c r="N21" s="16" t="str">
        <f t="shared" si="0"/>
        <v>YL / NC</v>
      </c>
      <c r="O21" s="18">
        <f>IF(OR(I21="",I21="None"),"",IF(OR(K21="",K21="None"),G21,G21/2))</f>
        <v>1.5</v>
      </c>
      <c r="P21" s="61" t="str">
        <f t="shared" si="7"/>
        <v>TIDAK</v>
      </c>
      <c r="Q21" s="203" t="str">
        <f t="shared" si="1"/>
        <v/>
      </c>
      <c r="R21" s="203" t="str">
        <f t="shared" si="2"/>
        <v/>
      </c>
      <c r="S21" s="203" t="str">
        <f t="shared" si="3"/>
        <v>Yulianti,S.Kom, MMSI</v>
      </c>
      <c r="T21" s="203" t="str">
        <f t="shared" si="4"/>
        <v>Niken Candraningrum, S.T., M.Cs.</v>
      </c>
      <c r="U21" s="11">
        <v>1</v>
      </c>
      <c r="V21" s="11" t="str">
        <f t="shared" si="5"/>
        <v/>
      </c>
      <c r="W21" s="165">
        <f t="shared" si="6"/>
        <v>28</v>
      </c>
      <c r="X21" s="32"/>
    </row>
    <row r="22" spans="2:24" s="11" customFormat="1" ht="45" customHeight="1" thickBot="1" x14ac:dyDescent="0.35">
      <c r="B22" s="32"/>
      <c r="C22" s="66" t="str">
        <f>IF(OR(I22="",I22="None"),"-",IF(OR(K22="",K22="None"),E22&amp; " "&amp;"SEM-"&amp;F22&amp;" "&amp;"SKS-"&amp;G22&amp;  " "&amp;H22&amp;" "&amp;J22,E22&amp; " "&amp;"SEM-"&amp;F22&amp;" SKS-"&amp;G22&amp;" "&amp;"S"&amp;H22&amp;  " "&amp;H22&amp;" "&amp;J22&amp;"/"&amp;L22))</f>
        <v>Probabilitas  dan  Statistik   SEM-2 SKS-3 SC C HSP/RS</v>
      </c>
      <c r="D22" s="14" t="str">
        <f>IF(J$19&gt;='TABLE SISTEM'!A$5,'TABLE MK'!I$4,"")</f>
        <v>INF-55201-105</v>
      </c>
      <c r="E22" s="14" t="str">
        <f>IF(D22="","",(VLOOKUP(D22,Table6[[#All],[Kode MK]:[Mata Kuliah Prasayarat]],2,)))</f>
        <v>Probabilitas  dan  Statistik  </v>
      </c>
      <c r="F22" s="15">
        <f>IF(D22="","",(VLOOKUP(D22,Table6[[#All],[Kode MK]:[Mata Kuliah Prasayarat]],3,)))</f>
        <v>2</v>
      </c>
      <c r="G22" s="15">
        <f>IF(D22="","",(VLOOKUP(D22,Table6[[#All],[Kode MK]:[Mata Kuliah Prasayarat]],4,)))</f>
        <v>3</v>
      </c>
      <c r="H22" s="15" t="str">
        <f>IF(D22="","","C")</f>
        <v>C</v>
      </c>
      <c r="I22" s="39" t="s">
        <v>128</v>
      </c>
      <c r="J22" s="17" t="str">
        <f>IF(I22="","",(VLOOKUP(I22,tbDosen[NAMA DOSEN]:tbDosen[[NAMA DOSEN]:[KODE]],2,)))</f>
        <v>HSP</v>
      </c>
      <c r="K22" s="39" t="s">
        <v>117</v>
      </c>
      <c r="L22" s="17" t="str">
        <f>IF(K22="","",(VLOOKUP(K22,tbDosen[NAMA DOSEN]:tbDosen[[NAMA DOSEN]:[KODE]],2,)))</f>
        <v>RS</v>
      </c>
      <c r="M22" s="16" t="str">
        <f>IF(OR(I22="",I22="None"),"",IF(OR(K22="",K22="None"),I22,I22&amp;" / "&amp;K22))</f>
        <v>Helen Sastypratiwi, S.T., M.Eng / Rina Septiriana, S.T., M.Cs.</v>
      </c>
      <c r="N22" s="16" t="str">
        <f t="shared" si="0"/>
        <v>HSP / RS</v>
      </c>
      <c r="O22" s="18">
        <f>IF(OR(I22="",I22="None"),"",IF(OR(K22="",K22="None"),G22,G22/2))</f>
        <v>1.5</v>
      </c>
      <c r="P22" s="61" t="str">
        <f t="shared" si="7"/>
        <v>TIDAK</v>
      </c>
      <c r="Q22" s="203" t="str">
        <f t="shared" si="1"/>
        <v/>
      </c>
      <c r="R22" s="203" t="str">
        <f t="shared" si="2"/>
        <v/>
      </c>
      <c r="S22" s="203" t="str">
        <f t="shared" si="3"/>
        <v>Helen Sastypratiwi, S.T., M.Eng</v>
      </c>
      <c r="T22" s="203" t="str">
        <f t="shared" si="4"/>
        <v>Rina Septiriana, S.T., M.Cs.</v>
      </c>
      <c r="U22" s="11">
        <v>1</v>
      </c>
      <c r="V22" s="11" t="str">
        <f t="shared" si="5"/>
        <v/>
      </c>
      <c r="W22" s="165">
        <f t="shared" si="6"/>
        <v>28</v>
      </c>
      <c r="X22" s="32"/>
    </row>
    <row r="23" spans="2:24" s="11" customFormat="1" ht="45" customHeight="1" thickBot="1" x14ac:dyDescent="0.35">
      <c r="B23" s="32"/>
      <c r="C23" s="66" t="str">
        <f>IF(OR(I23="",I23="None"),"-",IF(OR(K23="",K23="None"),E23&amp; " "&amp;"SEM-"&amp;F23&amp;" "&amp;"SKS-"&amp;G23&amp;  " "&amp;H23&amp;" "&amp;J23,E23&amp; " "&amp;"SEM-"&amp;F23&amp;" SKS-"&amp;G23&amp;" "&amp;"S"&amp;H23&amp;  " "&amp;H23&amp;" "&amp;J23&amp;"/"&amp;L23))</f>
        <v>Probabilitas  dan  Statistik   SEM-2 SKS-3 SD D YL/NC</v>
      </c>
      <c r="D23" s="14" t="str">
        <f>IF(J$19&gt;='TABLE SISTEM'!A$6,'TABLE MK'!I$4,"")</f>
        <v>INF-55201-105</v>
      </c>
      <c r="E23" s="14" t="str">
        <f>IF(D23="","",(VLOOKUP(D23,Table6[[#All],[Kode MK]:[Mata Kuliah Prasayarat]],2,)))</f>
        <v>Probabilitas  dan  Statistik  </v>
      </c>
      <c r="F23" s="15">
        <f>IF(D23="","",(VLOOKUP(D23,Table6[[#All],[Kode MK]:[Mata Kuliah Prasayarat]],3,)))</f>
        <v>2</v>
      </c>
      <c r="G23" s="15">
        <f>IF(D23="","",(VLOOKUP(D23,Table6[[#All],[Kode MK]:[Mata Kuliah Prasayarat]],4,)))</f>
        <v>3</v>
      </c>
      <c r="H23" s="15" t="str">
        <f>IF(D23="","","D")</f>
        <v>D</v>
      </c>
      <c r="I23" s="39" t="s">
        <v>145</v>
      </c>
      <c r="J23" s="17" t="str">
        <f>IF(I23="","",(VLOOKUP(I23,tbDosen[NAMA DOSEN]:tbDosen[[NAMA DOSEN]:[KODE]],2,)))</f>
        <v>YL</v>
      </c>
      <c r="K23" s="39" t="s">
        <v>338</v>
      </c>
      <c r="L23" s="17" t="str">
        <f>IF(K23="","",(VLOOKUP(K23,tbDosen[NAMA DOSEN]:tbDosen[[NAMA DOSEN]:[KODE]],2,)))</f>
        <v>NC</v>
      </c>
      <c r="M23" s="16" t="str">
        <f>IF(OR(I23="",I23="None"),"",IF(OR(K23="",K23="None"),I23,I23&amp;" / "&amp;K23))</f>
        <v>Yulianti,S.Kom, MMSI / Niken Candraningrum, S.T., M.Cs.</v>
      </c>
      <c r="N23" s="16" t="str">
        <f t="shared" si="0"/>
        <v>YL / NC</v>
      </c>
      <c r="O23" s="18">
        <f>IF(OR(I23="",I23="None"),"",IF(OR(K23="",K23="None"),G23,G23/2))</f>
        <v>1.5</v>
      </c>
      <c r="P23" s="61" t="str">
        <f t="shared" si="7"/>
        <v>TIDAK</v>
      </c>
      <c r="Q23" s="203" t="str">
        <f t="shared" si="1"/>
        <v/>
      </c>
      <c r="R23" s="203" t="str">
        <f t="shared" si="2"/>
        <v/>
      </c>
      <c r="S23" s="203" t="str">
        <f t="shared" si="3"/>
        <v>Yulianti,S.Kom, MMSI</v>
      </c>
      <c r="T23" s="203" t="str">
        <f t="shared" si="4"/>
        <v>Niken Candraningrum, S.T., M.Cs.</v>
      </c>
      <c r="U23" s="11">
        <v>1</v>
      </c>
      <c r="V23" s="11" t="str">
        <f t="shared" si="5"/>
        <v/>
      </c>
      <c r="W23" s="165">
        <f t="shared" si="6"/>
        <v>28</v>
      </c>
      <c r="X23" s="32"/>
    </row>
    <row r="24" spans="2:24" s="11" customFormat="1" ht="45" customHeight="1" thickBot="1" x14ac:dyDescent="0.35">
      <c r="B24" s="32"/>
      <c r="C24" s="66" t="str">
        <f>IF(OR(I24="",I24="None"),"-",IF(OR(K24="",K24="None"),E24&amp; " "&amp;"SEM-"&amp;F24&amp;" "&amp;"SKS-"&amp;G24&amp;  " "&amp;H24&amp;" "&amp;J24,E24&amp; " "&amp;"SEM-"&amp;F24&amp;" SKS-"&amp;G24&amp;" "&amp;"S"&amp;H24&amp;  " "&amp;H24&amp;" "&amp;J24&amp;"/"&amp;L24))</f>
        <v>-</v>
      </c>
      <c r="D24" s="14" t="str">
        <f>IF(J$19&gt;='TABLE SISTEM'!A$7,'TABLE MK'!I$4,"")</f>
        <v/>
      </c>
      <c r="E24" s="14" t="str">
        <f>IF(D24="","",(VLOOKUP(D24,Table6[[#All],[Kode MK]:[Mata Kuliah Prasayarat]],2,)))</f>
        <v/>
      </c>
      <c r="F24" s="15" t="str">
        <f>IF(D24="","",(VLOOKUP(D24,Table6[[#All],[Kode MK]:[Mata Kuliah Prasayarat]],3,)))</f>
        <v/>
      </c>
      <c r="G24" s="15" t="str">
        <f>IF(D24="","",(VLOOKUP(D24,Table6[[#All],[Kode MK]:[Mata Kuliah Prasayarat]],4,)))</f>
        <v/>
      </c>
      <c r="H24" s="15" t="str">
        <f>IF(D24="","","E")</f>
        <v/>
      </c>
      <c r="I24" s="39" t="s">
        <v>105</v>
      </c>
      <c r="J24" s="17" t="str">
        <f>IF(I24="","",(VLOOKUP(I24,tbDosen[NAMA DOSEN]:tbDosen[[NAMA DOSEN]:[KODE]],2,)))</f>
        <v>-</v>
      </c>
      <c r="K24" s="39" t="s">
        <v>105</v>
      </c>
      <c r="L24" s="17" t="str">
        <f>IF(K24="","",(VLOOKUP(K24,tbDosen[NAMA DOSEN]:tbDosen[[NAMA DOSEN]:[KODE]],2,)))</f>
        <v>-</v>
      </c>
      <c r="M24" s="16" t="str">
        <f>IF(OR(I24="",I24="None"),"",IF(OR(K24="",K24="None"),I24,I24&amp;" / "&amp;K24))</f>
        <v/>
      </c>
      <c r="N24" s="16" t="str">
        <f t="shared" si="0"/>
        <v/>
      </c>
      <c r="O24" s="18" t="str">
        <f>IF(OR(I24="",I24="None"),"",IF(OR(K24="",K24="None"),G24,G24/2))</f>
        <v/>
      </c>
      <c r="P24" s="62" t="str">
        <f t="shared" si="7"/>
        <v/>
      </c>
      <c r="Q24" s="203" t="str">
        <f t="shared" si="1"/>
        <v/>
      </c>
      <c r="R24" s="203" t="str">
        <f t="shared" si="2"/>
        <v/>
      </c>
      <c r="S24" s="203" t="str">
        <f t="shared" si="3"/>
        <v/>
      </c>
      <c r="T24" s="203" t="str">
        <f t="shared" si="4"/>
        <v/>
      </c>
      <c r="U24" s="11">
        <v>0</v>
      </c>
      <c r="V24" s="11" t="str">
        <f t="shared" si="5"/>
        <v/>
      </c>
      <c r="W24" s="165">
        <f t="shared" si="6"/>
        <v>35</v>
      </c>
      <c r="X24" s="32"/>
    </row>
    <row r="25" spans="2:24" s="11" customFormat="1" ht="45" customHeight="1" thickBot="1" x14ac:dyDescent="0.35">
      <c r="B25" s="32"/>
      <c r="C25" s="67"/>
      <c r="D25" s="41" t="s">
        <v>157</v>
      </c>
      <c r="E25" s="256" t="str">
        <f>'TABLE MK'!J5</f>
        <v>Matematika  Dasar II</v>
      </c>
      <c r="F25" s="256"/>
      <c r="G25" s="256"/>
      <c r="H25" s="256"/>
      <c r="I25" s="41" t="s">
        <v>95</v>
      </c>
      <c r="J25" s="40">
        <v>4</v>
      </c>
      <c r="K25" s="42"/>
      <c r="L25" s="43"/>
      <c r="M25" s="43" t="s">
        <v>161</v>
      </c>
      <c r="N25" s="45"/>
      <c r="O25" s="42"/>
      <c r="P25" s="63"/>
      <c r="Q25" s="203" t="str">
        <f t="shared" si="1"/>
        <v/>
      </c>
      <c r="R25" s="203" t="str">
        <f t="shared" si="2"/>
        <v/>
      </c>
      <c r="S25" s="203" t="str">
        <f t="shared" si="3"/>
        <v>Jumlah Kelas</v>
      </c>
      <c r="T25" s="203">
        <f t="shared" si="4"/>
        <v>0</v>
      </c>
      <c r="U25" s="11">
        <v>0</v>
      </c>
      <c r="V25" s="11" t="str">
        <f t="shared" si="5"/>
        <v/>
      </c>
      <c r="W25" s="165">
        <f t="shared" si="6"/>
        <v>35</v>
      </c>
      <c r="X25" s="32"/>
    </row>
    <row r="26" spans="2:24" s="11" customFormat="1" ht="45" customHeight="1" thickBot="1" x14ac:dyDescent="0.35">
      <c r="B26" s="32"/>
      <c r="C26" s="68" t="str">
        <f>IF(OR(I26="",I26="None"),"-",IF(OR(K26="",K26="None"),E26&amp; " "&amp;"SEM-"&amp;F26&amp;" "&amp;"SKS-"&amp;G26&amp;  " "&amp;H26&amp;" "&amp;J26,E26&amp; " "&amp;"SEM-"&amp;F26&amp;" SKS-"&amp;G26&amp;" "&amp;"S"&amp;H26&amp;  " "&amp;H26&amp;" "&amp;J26&amp;"/"&amp;L26))</f>
        <v>Matematika  Dasar II SEM-2 SKS-3 SA A AS/RS</v>
      </c>
      <c r="D26" s="14" t="str">
        <f>IF(J$25&gt;='TABLE SISTEM'!A$3,'TABLE MK'!I$5,"")</f>
        <v>INF-55201-106</v>
      </c>
      <c r="E26" s="14" t="str">
        <f>IF(D26="","",(VLOOKUP(D26,Table6[[#All],[Kode MK]:[Mata Kuliah Prasayarat]],2,)))</f>
        <v>Matematika  Dasar II</v>
      </c>
      <c r="F26" s="15">
        <f>IF(D26="","",(VLOOKUP(D26,Table6[[#All],[Kode MK]:[Mata Kuliah Prasayarat]],3,)))</f>
        <v>2</v>
      </c>
      <c r="G26" s="15">
        <f>IF(D26="","",(VLOOKUP(D26,Table6[[#All],[Kode MK]:[Mata Kuliah Prasayarat]],4,)))</f>
        <v>3</v>
      </c>
      <c r="H26" s="15" t="str">
        <f>IF(D26="","","A")</f>
        <v>A</v>
      </c>
      <c r="I26" s="21" t="s">
        <v>109</v>
      </c>
      <c r="J26" s="17" t="str">
        <f>IF(I26="","",(VLOOKUP(I26,tbDosen[NAMA DOSEN]:tbDosen[[NAMA DOSEN]:[KODE]],2,)))</f>
        <v>AS</v>
      </c>
      <c r="K26" s="39" t="s">
        <v>117</v>
      </c>
      <c r="L26" s="17" t="str">
        <f>IF(K26="","",(VLOOKUP(K26,tbDosen[NAMA DOSEN]:tbDosen[[NAMA DOSEN]:[KODE]],2,)))</f>
        <v>RS</v>
      </c>
      <c r="M26" s="16" t="str">
        <f>IF(OR(I26="",I26="None"),"",IF(OR(K26="",K26="None"),I26,I26&amp;" / "&amp;K26))</f>
        <v>Anggi Srimurdianti, S.T., M.T. / Rina Septiriana, S.T., M.Cs.</v>
      </c>
      <c r="N26" s="16" t="str">
        <f t="shared" si="0"/>
        <v>AS / RS</v>
      </c>
      <c r="O26" s="18">
        <f>IF(OR(I26="",I26="None"),"",IF(OR(K26="",K26="None"),G26,G26/2))</f>
        <v>1.5</v>
      </c>
      <c r="P26" s="60" t="str">
        <f t="shared" si="7"/>
        <v>TIDAK</v>
      </c>
      <c r="Q26" s="203" t="str">
        <f t="shared" si="1"/>
        <v/>
      </c>
      <c r="R26" s="203" t="str">
        <f t="shared" si="2"/>
        <v/>
      </c>
      <c r="S26" s="203" t="str">
        <f t="shared" si="3"/>
        <v>Anggi Srimurdianti, S.T., M.T.</v>
      </c>
      <c r="T26" s="203" t="str">
        <f t="shared" si="4"/>
        <v>Rina Septiriana, S.T., M.Cs.</v>
      </c>
      <c r="U26" s="11">
        <v>1</v>
      </c>
      <c r="V26" s="11" t="str">
        <f t="shared" si="5"/>
        <v/>
      </c>
      <c r="W26" s="165">
        <f t="shared" si="6"/>
        <v>28</v>
      </c>
      <c r="X26" s="32"/>
    </row>
    <row r="27" spans="2:24" s="11" customFormat="1" ht="45" customHeight="1" thickBot="1" x14ac:dyDescent="0.35">
      <c r="B27" s="32"/>
      <c r="C27" s="68" t="str">
        <f>IF(OR(I27="",I27="None"),"-",IF(OR(K27="",K27="None"),E27&amp; " "&amp;"SEM-"&amp;F27&amp;" "&amp;"SKS-"&amp;G27&amp;  " "&amp;H27&amp;" "&amp;J27,E27&amp; " "&amp;"SEM-"&amp;F27&amp;" SKS-"&amp;G27&amp;" "&amp;"S"&amp;H27&amp;  " "&amp;H27&amp;" "&amp;J27&amp;"/"&amp;L27))</f>
        <v>Matematika  Dasar II SEM-2 SKS-3 SB B RS/AS</v>
      </c>
      <c r="D27" s="14" t="str">
        <f>IF(J$25&gt;='TABLE SISTEM'!A$4,'TABLE MK'!I$5,"")</f>
        <v>INF-55201-106</v>
      </c>
      <c r="E27" s="14" t="str">
        <f>IF(D27="","",(VLOOKUP(D27,Table6[[#All],[Kode MK]:[Mata Kuliah Prasayarat]],2,)))</f>
        <v>Matematika  Dasar II</v>
      </c>
      <c r="F27" s="15">
        <f>IF(D27="","",(VLOOKUP(D27,Table6[[#All],[Kode MK]:[Mata Kuliah Prasayarat]],3,)))</f>
        <v>2</v>
      </c>
      <c r="G27" s="15">
        <f>IF(D27="","",(VLOOKUP(D27,Table6[[#All],[Kode MK]:[Mata Kuliah Prasayarat]],4,)))</f>
        <v>3</v>
      </c>
      <c r="H27" s="15" t="str">
        <f>IF(D27="","","B")</f>
        <v>B</v>
      </c>
      <c r="I27" s="39" t="s">
        <v>117</v>
      </c>
      <c r="J27" s="17" t="str">
        <f>IF(I27="","",(VLOOKUP(I27,tbDosen[NAMA DOSEN]:tbDosen[[NAMA DOSEN]:[KODE]],2,)))</f>
        <v>RS</v>
      </c>
      <c r="K27" s="21" t="s">
        <v>109</v>
      </c>
      <c r="L27" s="17" t="str">
        <f>IF(K27="","",(VLOOKUP(K27,tbDosen[NAMA DOSEN]:tbDosen[[NAMA DOSEN]:[KODE]],2,)))</f>
        <v>AS</v>
      </c>
      <c r="M27" s="16" t="str">
        <f>IF(OR(I27="",I27="None"),"",IF(OR(K27="",K27="None"),I27,I27&amp;" / "&amp;K27))</f>
        <v>Rina Septiriana, S.T., M.Cs. / Anggi Srimurdianti, S.T., M.T.</v>
      </c>
      <c r="N27" s="16" t="str">
        <f t="shared" si="0"/>
        <v>RS / AS</v>
      </c>
      <c r="O27" s="18">
        <f>IF(OR(I27="",I27="None"),"",IF(OR(K27="",K27="None"),G27,G27/2))</f>
        <v>1.5</v>
      </c>
      <c r="P27" s="61" t="str">
        <f t="shared" si="7"/>
        <v>TIDAK</v>
      </c>
      <c r="Q27" s="203" t="str">
        <f t="shared" si="1"/>
        <v/>
      </c>
      <c r="R27" s="203" t="str">
        <f t="shared" si="2"/>
        <v/>
      </c>
      <c r="S27" s="203" t="str">
        <f t="shared" si="3"/>
        <v>Rina Septiriana, S.T., M.Cs.</v>
      </c>
      <c r="T27" s="203" t="str">
        <f t="shared" si="4"/>
        <v>Anggi Srimurdianti, S.T., M.T.</v>
      </c>
      <c r="U27" s="11">
        <v>1</v>
      </c>
      <c r="V27" s="11" t="str">
        <f t="shared" si="5"/>
        <v/>
      </c>
      <c r="W27" s="165">
        <f t="shared" si="6"/>
        <v>28</v>
      </c>
      <c r="X27" s="32"/>
    </row>
    <row r="28" spans="2:24" ht="45" customHeight="1" thickBot="1" x14ac:dyDescent="0.35">
      <c r="B28" s="24"/>
      <c r="C28" s="68" t="str">
        <f>IF(OR(I28="",I28="None"),"-",IF(OR(K28="",K28="None"),E28&amp; " "&amp;"SEM-"&amp;F28&amp;" "&amp;"SKS-"&amp;G28&amp;  " "&amp;H28&amp;" "&amp;J28,E28&amp; " "&amp;"SEM-"&amp;F28&amp;" SKS-"&amp;G28&amp;" "&amp;"S"&amp;H28&amp;  " "&amp;H28&amp;" "&amp;J28&amp;"/"&amp;L28))</f>
        <v>Matematika  Dasar II SEM-2 SKS-3 SC C AS/RS</v>
      </c>
      <c r="D28" s="14" t="str">
        <f>IF(J$25&gt;='TABLE SISTEM'!A$5,'TABLE MK'!I$5,"")</f>
        <v>INF-55201-106</v>
      </c>
      <c r="E28" s="14" t="str">
        <f>IF(D28="","",(VLOOKUP(D28,Table6[[#All],[Kode MK]:[Mata Kuliah Prasayarat]],2,)))</f>
        <v>Matematika  Dasar II</v>
      </c>
      <c r="F28" s="15">
        <f>IF(D28="","",(VLOOKUP(D28,Table6[[#All],[Kode MK]:[Mata Kuliah Prasayarat]],3,)))</f>
        <v>2</v>
      </c>
      <c r="G28" s="15">
        <f>IF(D28="","",(VLOOKUP(D28,Table6[[#All],[Kode MK]:[Mata Kuliah Prasayarat]],4,)))</f>
        <v>3</v>
      </c>
      <c r="H28" s="15" t="str">
        <f>IF(D28="","","C")</f>
        <v>C</v>
      </c>
      <c r="I28" s="21" t="s">
        <v>109</v>
      </c>
      <c r="J28" s="17" t="str">
        <f>IF(I28="","",(VLOOKUP(I28,tbDosen[NAMA DOSEN]:tbDosen[[NAMA DOSEN]:[KODE]],2,)))</f>
        <v>AS</v>
      </c>
      <c r="K28" s="39" t="s">
        <v>117</v>
      </c>
      <c r="L28" s="17" t="str">
        <f>IF(K28="","",(VLOOKUP(K28,tbDosen[NAMA DOSEN]:tbDosen[[NAMA DOSEN]:[KODE]],2,)))</f>
        <v>RS</v>
      </c>
      <c r="M28" s="16" t="str">
        <f>IF(OR(I28="",I28="None"),"",IF(OR(K28="",K28="None"),I28,I28&amp;" / "&amp;K28))</f>
        <v>Anggi Srimurdianti, S.T., M.T. / Rina Septiriana, S.T., M.Cs.</v>
      </c>
      <c r="N28" s="16" t="str">
        <f t="shared" si="0"/>
        <v>AS / RS</v>
      </c>
      <c r="O28" s="18">
        <f>IF(OR(I28="",I28="None"),"",IF(OR(K28="",K28="None"),G28,G28/2))</f>
        <v>1.5</v>
      </c>
      <c r="P28" s="61" t="str">
        <f t="shared" si="7"/>
        <v>TIDAK</v>
      </c>
      <c r="Q28" s="203" t="str">
        <f t="shared" si="1"/>
        <v/>
      </c>
      <c r="R28" s="203" t="str">
        <f t="shared" si="2"/>
        <v/>
      </c>
      <c r="S28" s="203" t="str">
        <f t="shared" si="3"/>
        <v>Anggi Srimurdianti, S.T., M.T.</v>
      </c>
      <c r="T28" s="203" t="str">
        <f t="shared" si="4"/>
        <v>Rina Septiriana, S.T., M.Cs.</v>
      </c>
      <c r="U28" s="12">
        <v>1</v>
      </c>
      <c r="V28" s="11" t="str">
        <f t="shared" si="5"/>
        <v/>
      </c>
      <c r="W28" s="165">
        <f t="shared" si="6"/>
        <v>28</v>
      </c>
      <c r="X28" s="24"/>
    </row>
    <row r="29" spans="2:24" ht="45" customHeight="1" thickBot="1" x14ac:dyDescent="0.35">
      <c r="B29" s="24"/>
      <c r="C29" s="68" t="str">
        <f>IF(OR(I29="",I29="None"),"-",IF(OR(K29="",K29="None"),E29&amp; " "&amp;"SEM-"&amp;F29&amp;" "&amp;"SKS-"&amp;G29&amp;  " "&amp;H29&amp;" "&amp;J29,E29&amp; " "&amp;"SEM-"&amp;F29&amp;" SKS-"&amp;G29&amp;" "&amp;"S"&amp;H29&amp;  " "&amp;H29&amp;" "&amp;J29&amp;"/"&amp;L29))</f>
        <v>Matematika  Dasar II SEM-2 SKS-3 SD D RS/AS</v>
      </c>
      <c r="D29" s="14" t="str">
        <f>IF(J$25&gt;='TABLE SISTEM'!A$6,'TABLE MK'!I$5,"")</f>
        <v>INF-55201-106</v>
      </c>
      <c r="E29" s="14" t="str">
        <f>IF(D29="","",(VLOOKUP(D29,Table6[[#All],[Kode MK]:[Mata Kuliah Prasayarat]],2,)))</f>
        <v>Matematika  Dasar II</v>
      </c>
      <c r="F29" s="15">
        <f>IF(D29="","",(VLOOKUP(D29,Table6[[#All],[Kode MK]:[Mata Kuliah Prasayarat]],3,)))</f>
        <v>2</v>
      </c>
      <c r="G29" s="15">
        <f>IF(D29="","",(VLOOKUP(D29,Table6[[#All],[Kode MK]:[Mata Kuliah Prasayarat]],4,)))</f>
        <v>3</v>
      </c>
      <c r="H29" s="15" t="str">
        <f>IF(D29="","","D")</f>
        <v>D</v>
      </c>
      <c r="I29" s="39" t="s">
        <v>117</v>
      </c>
      <c r="J29" s="17" t="str">
        <f>IF(I29="","",(VLOOKUP(I29,tbDosen[NAMA DOSEN]:tbDosen[[NAMA DOSEN]:[KODE]],2,)))</f>
        <v>RS</v>
      </c>
      <c r="K29" s="21" t="s">
        <v>109</v>
      </c>
      <c r="L29" s="17" t="str">
        <f>IF(K29="","",(VLOOKUP(K29,tbDosen[NAMA DOSEN]:tbDosen[[NAMA DOSEN]:[KODE]],2,)))</f>
        <v>AS</v>
      </c>
      <c r="M29" s="16" t="str">
        <f>IF(OR(I29="",I29="None"),"",IF(OR(K29="",K29="None"),I29,I29&amp;" / "&amp;K29))</f>
        <v>Rina Septiriana, S.T., M.Cs. / Anggi Srimurdianti, S.T., M.T.</v>
      </c>
      <c r="N29" s="16" t="str">
        <f t="shared" si="0"/>
        <v>RS / AS</v>
      </c>
      <c r="O29" s="18">
        <f>IF(OR(I29="",I29="None"),"",IF(OR(K29="",K29="None"),G29,G29/2))</f>
        <v>1.5</v>
      </c>
      <c r="P29" s="61" t="str">
        <f t="shared" si="7"/>
        <v>TIDAK</v>
      </c>
      <c r="Q29" s="203" t="str">
        <f t="shared" si="1"/>
        <v/>
      </c>
      <c r="R29" s="203" t="str">
        <f t="shared" si="2"/>
        <v/>
      </c>
      <c r="S29" s="203" t="str">
        <f t="shared" si="3"/>
        <v>Rina Septiriana, S.T., M.Cs.</v>
      </c>
      <c r="T29" s="203" t="str">
        <f t="shared" si="4"/>
        <v>Anggi Srimurdianti, S.T., M.T.</v>
      </c>
      <c r="U29" s="12">
        <v>1</v>
      </c>
      <c r="V29" s="11" t="str">
        <f t="shared" si="5"/>
        <v/>
      </c>
      <c r="W29" s="165">
        <f t="shared" si="6"/>
        <v>28</v>
      </c>
      <c r="X29" s="24"/>
    </row>
    <row r="30" spans="2:24" ht="45" customHeight="1" thickBot="1" x14ac:dyDescent="0.35">
      <c r="B30" s="24"/>
      <c r="C30" s="68" t="str">
        <f>IF(OR(I30="",I30="None"),"-",IF(OR(K30="",K30="None"),E30&amp; " "&amp;"SEM-"&amp;F30&amp;" "&amp;"SKS-"&amp;G30&amp;  " "&amp;H30&amp;" "&amp;J30,E30&amp; " "&amp;"SEM-"&amp;F30&amp;" SKS-"&amp;G30&amp;" "&amp;"S"&amp;H30&amp;  " "&amp;H30&amp;" "&amp;J30&amp;"/"&amp;L30))</f>
        <v>-</v>
      </c>
      <c r="D30" s="14" t="str">
        <f>IF(J$25&gt;='TABLE SISTEM'!A$7,'TABLE MK'!I$5,"")</f>
        <v/>
      </c>
      <c r="E30" s="14" t="str">
        <f>IF(D30="","",(VLOOKUP(D30,Table6[[#All],[Kode MK]:[Mata Kuliah Prasayarat]],2,)))</f>
        <v/>
      </c>
      <c r="F30" s="15" t="str">
        <f>IF(D30="","",(VLOOKUP(D30,Table6[[#All],[Kode MK]:[Mata Kuliah Prasayarat]],3,)))</f>
        <v/>
      </c>
      <c r="G30" s="15" t="str">
        <f>IF(D30="","",(VLOOKUP(D30,Table6[[#All],[Kode MK]:[Mata Kuliah Prasayarat]],4,)))</f>
        <v/>
      </c>
      <c r="H30" s="15" t="str">
        <f>IF(D30="","","E")</f>
        <v/>
      </c>
      <c r="I30" s="44" t="s">
        <v>105</v>
      </c>
      <c r="J30" s="17" t="str">
        <f>IF(I30="","",(VLOOKUP(I30,tbDosen[NAMA DOSEN]:tbDosen[[NAMA DOSEN]:[KODE]],2,)))</f>
        <v>-</v>
      </c>
      <c r="K30" s="39" t="s">
        <v>105</v>
      </c>
      <c r="L30" s="17" t="str">
        <f>IF(K30="","",(VLOOKUP(K30,tbDosen[NAMA DOSEN]:tbDosen[[NAMA DOSEN]:[KODE]],2,)))</f>
        <v>-</v>
      </c>
      <c r="M30" s="16" t="str">
        <f>IF(OR(I30="",I30="None"),"",IF(OR(K30="",K30="None"),I30,I30&amp;" / "&amp;K30))</f>
        <v/>
      </c>
      <c r="N30" s="16" t="str">
        <f t="shared" si="0"/>
        <v/>
      </c>
      <c r="O30" s="18" t="str">
        <f>IF(OR(I30="",I30="None"),"",IF(OR(K30="",K30="None"),G30,G30/2))</f>
        <v/>
      </c>
      <c r="P30" s="62" t="str">
        <f t="shared" si="7"/>
        <v/>
      </c>
      <c r="Q30" s="203" t="str">
        <f t="shared" si="1"/>
        <v/>
      </c>
      <c r="R30" s="203" t="str">
        <f t="shared" si="2"/>
        <v/>
      </c>
      <c r="S30" s="203" t="str">
        <f t="shared" si="3"/>
        <v/>
      </c>
      <c r="T30" s="203" t="str">
        <f t="shared" si="4"/>
        <v/>
      </c>
      <c r="U30" s="12">
        <v>0</v>
      </c>
      <c r="V30" s="11" t="str">
        <f t="shared" si="5"/>
        <v/>
      </c>
      <c r="W30" s="165">
        <f t="shared" si="6"/>
        <v>35</v>
      </c>
      <c r="X30" s="24"/>
    </row>
    <row r="31" spans="2:24" ht="45" customHeight="1" thickBot="1" x14ac:dyDescent="0.35">
      <c r="B31" s="24"/>
      <c r="C31" s="67"/>
      <c r="D31" s="41" t="s">
        <v>157</v>
      </c>
      <c r="E31" s="256" t="str">
        <f>'TABLE MK'!J6</f>
        <v>Organisasi  dan Arsitektur Komputer  </v>
      </c>
      <c r="F31" s="256"/>
      <c r="G31" s="256"/>
      <c r="H31" s="256"/>
      <c r="I31" s="41" t="s">
        <v>95</v>
      </c>
      <c r="J31" s="40">
        <v>4</v>
      </c>
      <c r="K31" s="42"/>
      <c r="L31" s="43"/>
      <c r="M31" s="43" t="s">
        <v>161</v>
      </c>
      <c r="N31" s="45"/>
      <c r="O31" s="42"/>
      <c r="P31" s="63"/>
      <c r="Q31" s="203" t="str">
        <f t="shared" si="1"/>
        <v/>
      </c>
      <c r="R31" s="203" t="str">
        <f t="shared" si="2"/>
        <v/>
      </c>
      <c r="S31" s="203" t="str">
        <f t="shared" si="3"/>
        <v>Jumlah Kelas</v>
      </c>
      <c r="T31" s="203">
        <f t="shared" si="4"/>
        <v>0</v>
      </c>
      <c r="U31" s="12">
        <v>0</v>
      </c>
      <c r="V31" s="11" t="str">
        <f t="shared" si="5"/>
        <v/>
      </c>
      <c r="W31" s="165">
        <f t="shared" si="6"/>
        <v>35</v>
      </c>
      <c r="X31" s="24"/>
    </row>
    <row r="32" spans="2:24" ht="45" customHeight="1" thickBot="1" x14ac:dyDescent="0.35">
      <c r="B32" s="24"/>
      <c r="C32" s="68" t="str">
        <f>IF(OR(I32="",I32="None"),"-",IF(OR(K32="",K32="None"),E32&amp; " "&amp;"SEM-"&amp;F32&amp;" "&amp;"SKS-"&amp;G32&amp;  " "&amp;H32&amp;" "&amp;J32,E32&amp; " "&amp;"SEM-"&amp;F32&amp;" SKS-"&amp;G32&amp;" "&amp;"S"&amp;H32&amp;  " "&amp;H32&amp;" "&amp;J32&amp;"/"&amp;L32))</f>
        <v>Organisasi  dan Arsitektur Komputer   SEM-2 SKS-3 SA A TZ/AAJ</v>
      </c>
      <c r="D32" t="str">
        <f>IF(J$31&gt;='TABLE SISTEM'!A$3,'TABLE MK'!I$6,"")</f>
        <v>INF-55201-107</v>
      </c>
      <c r="E32" s="14" t="str">
        <f>IF(D32="","",(VLOOKUP(D32,Table6[[#All],[Kode MK]:[Mata Kuliah Prasayarat]],2,)))</f>
        <v>Organisasi  dan Arsitektur Komputer  </v>
      </c>
      <c r="F32" s="15">
        <f>IF(D32="","",(VLOOKUP(D32,Table6[[#All],[Kode MK]:[Mata Kuliah Prasayarat]],3,)))</f>
        <v>2</v>
      </c>
      <c r="G32" s="15">
        <f>IF(D32="","",(VLOOKUP(D32,Table6[[#All],[Kode MK]:[Mata Kuliah Prasayarat]],4,)))</f>
        <v>3</v>
      </c>
      <c r="H32" s="15" t="str">
        <f>IF(D32="","","A")</f>
        <v>A</v>
      </c>
      <c r="I32" s="21" t="s">
        <v>137</v>
      </c>
      <c r="J32" s="17" t="str">
        <f>IF(I32="","",(VLOOKUP(I32,tbDosen[NAMA DOSEN]:tbDosen[[NAMA DOSEN]:[KODE]],2,)))</f>
        <v>TZ</v>
      </c>
      <c r="K32" s="39" t="s">
        <v>334</v>
      </c>
      <c r="L32" s="17" t="str">
        <f>IF(K32="","",(VLOOKUP(K32,tbDosen[NAMA DOSEN]:tbDosen[[NAMA DOSEN]:[KODE]],2,)))</f>
        <v>AAJ</v>
      </c>
      <c r="M32" s="16" t="str">
        <f>IF(OR(I32="",I32="None"),"",IF(OR(K32="",K32="None"),I32,I32&amp;" / "&amp;K32))</f>
        <v>Morteza Muthahhari, S.Kom., M.T.I / Alfian Abdul Jalid, S.Kom., M.Cs.</v>
      </c>
      <c r="N32" s="16" t="str">
        <f t="shared" si="0"/>
        <v>TZ / AAJ</v>
      </c>
      <c r="O32" s="18">
        <f>IF(OR(I32="",I32="None"),"",IF(OR(K32="",K32="None"),G32,G32/2))</f>
        <v>1.5</v>
      </c>
      <c r="P32" s="60" t="str">
        <f t="shared" si="7"/>
        <v>TIDAK</v>
      </c>
      <c r="Q32" s="203" t="str">
        <f t="shared" si="1"/>
        <v/>
      </c>
      <c r="R32" s="203" t="str">
        <f t="shared" si="2"/>
        <v/>
      </c>
      <c r="S32" s="203" t="str">
        <f t="shared" si="3"/>
        <v>Morteza Muthahhari, S.Kom., M.T.I</v>
      </c>
      <c r="T32" s="203" t="str">
        <f t="shared" si="4"/>
        <v>Alfian Abdul Jalid, S.Kom., M.Cs.</v>
      </c>
      <c r="U32" s="12">
        <v>1</v>
      </c>
      <c r="V32" s="11" t="str">
        <f t="shared" si="5"/>
        <v/>
      </c>
      <c r="W32" s="165">
        <f t="shared" si="6"/>
        <v>28</v>
      </c>
      <c r="X32" s="24"/>
    </row>
    <row r="33" spans="2:24" ht="45" customHeight="1" thickBot="1" x14ac:dyDescent="0.35">
      <c r="B33" s="24"/>
      <c r="C33" s="68" t="str">
        <f>IF(OR(I33="",I33="None"),"-",IF(OR(K33="",K33="None"),E33&amp; " "&amp;"SEM-"&amp;F33&amp;" "&amp;"SKS-"&amp;G33&amp;  " "&amp;H33&amp;" "&amp;J33,E33&amp; " "&amp;"SEM-"&amp;F33&amp;" SKS-"&amp;G33&amp;" "&amp;"S"&amp;H33&amp;  " "&amp;H33&amp;" "&amp;J33&amp;"/"&amp;L33))</f>
        <v>Organisasi  dan Arsitektur Komputer   SEM-2 SKS-3 SB B EE/KH</v>
      </c>
      <c r="D33" t="str">
        <f>IF(J$31&gt;='TABLE SISTEM'!A$4,'TABLE MK'!I$6,"")</f>
        <v>INF-55201-107</v>
      </c>
      <c r="E33" s="14" t="str">
        <f>IF(D33="","",(VLOOKUP(D33,Table6[[#All],[Kode MK]:[Mata Kuliah Prasayarat]],2,)))</f>
        <v>Organisasi  dan Arsitektur Komputer  </v>
      </c>
      <c r="F33" s="15">
        <f>IF(D33="","",(VLOOKUP(D33,Table6[[#All],[Kode MK]:[Mata Kuliah Prasayarat]],3,)))</f>
        <v>2</v>
      </c>
      <c r="G33" s="15">
        <f>IF(D33="","",(VLOOKUP(D33,Table6[[#All],[Kode MK]:[Mata Kuliah Prasayarat]],4,)))</f>
        <v>3</v>
      </c>
      <c r="H33" s="15" t="str">
        <f>IF(D33="","","B")</f>
        <v>B</v>
      </c>
      <c r="I33" s="21" t="s">
        <v>119</v>
      </c>
      <c r="J33" s="17" t="str">
        <f>IF(I33="","",(VLOOKUP(I33,tbDosen[NAMA DOSEN]:tbDosen[[NAMA DOSEN]:[KODE]],2,)))</f>
        <v>EE</v>
      </c>
      <c r="K33" s="39" t="s">
        <v>337</v>
      </c>
      <c r="L33" s="17" t="str">
        <f>IF(K33="","",(VLOOKUP(K33,tbDosen[NAMA DOSEN]:tbDosen[[NAMA DOSEN]:[KODE]],2,)))</f>
        <v>KH</v>
      </c>
      <c r="M33" s="16" t="str">
        <f>IF(OR(I33="",I33="None"),"",IF(OR(K33="",K33="None"),I33,I33&amp;" / "&amp;K33))</f>
        <v>Enda Esyudha Pratama, S.T., M.T. / Khairul Hafidh, S.T., M.Kom.</v>
      </c>
      <c r="N33" s="16" t="str">
        <f t="shared" si="0"/>
        <v>EE / KH</v>
      </c>
      <c r="O33" s="18">
        <f>IF(OR(I33="",I33="None"),"",IF(OR(K33="",K33="None"),G33,G33/2))</f>
        <v>1.5</v>
      </c>
      <c r="P33" s="61" t="str">
        <f t="shared" si="7"/>
        <v>TIDAK</v>
      </c>
      <c r="Q33" s="203" t="str">
        <f t="shared" si="1"/>
        <v/>
      </c>
      <c r="R33" s="203" t="str">
        <f t="shared" si="2"/>
        <v/>
      </c>
      <c r="S33" s="203" t="str">
        <f t="shared" si="3"/>
        <v>Enda Esyudha Pratama, S.T., M.T.</v>
      </c>
      <c r="T33" s="203" t="str">
        <f t="shared" si="4"/>
        <v>Khairul Hafidh, S.T., M.Kom.</v>
      </c>
      <c r="U33" s="12">
        <v>1</v>
      </c>
      <c r="V33" s="11" t="str">
        <f t="shared" si="5"/>
        <v/>
      </c>
      <c r="W33" s="165">
        <f t="shared" si="6"/>
        <v>28</v>
      </c>
      <c r="X33" s="24"/>
    </row>
    <row r="34" spans="2:24" ht="45" customHeight="1" thickBot="1" x14ac:dyDescent="0.35">
      <c r="B34" s="24"/>
      <c r="C34" s="68" t="str">
        <f>IF(OR(I34="",I34="None"),"-",IF(OR(K34="",K34="None"),E34&amp; " "&amp;"SEM-"&amp;F34&amp;" "&amp;"SKS-"&amp;G34&amp;  " "&amp;H34&amp;" "&amp;J34,E34&amp; " "&amp;"SEM-"&amp;F34&amp;" SKS-"&amp;G34&amp;" "&amp;"S"&amp;H34&amp;  " "&amp;H34&amp;" "&amp;J34&amp;"/"&amp;L34))</f>
        <v>Organisasi  dan Arsitektur Komputer   SEM-2 SKS-3 SC C TZ/AAJ</v>
      </c>
      <c r="D34" t="str">
        <f>IF(J$31&gt;='TABLE SISTEM'!A$5,'TABLE MK'!I$6,"")</f>
        <v>INF-55201-107</v>
      </c>
      <c r="E34" s="14" t="str">
        <f>IF(D34="","",(VLOOKUP(D34,Table6[[#All],[Kode MK]:[Mata Kuliah Prasayarat]],2,)))</f>
        <v>Organisasi  dan Arsitektur Komputer  </v>
      </c>
      <c r="F34" s="15">
        <f>IF(D34="","",(VLOOKUP(D34,Table6[[#All],[Kode MK]:[Mata Kuliah Prasayarat]],3,)))</f>
        <v>2</v>
      </c>
      <c r="G34" s="15">
        <f>IF(D34="","",(VLOOKUP(D34,Table6[[#All],[Kode MK]:[Mata Kuliah Prasayarat]],4,)))</f>
        <v>3</v>
      </c>
      <c r="H34" s="15" t="str">
        <f>IF(D34="","","C")</f>
        <v>C</v>
      </c>
      <c r="I34" s="21" t="s">
        <v>137</v>
      </c>
      <c r="J34" s="17" t="str">
        <f>IF(I34="","",(VLOOKUP(I34,tbDosen[NAMA DOSEN]:tbDosen[[NAMA DOSEN]:[KODE]],2,)))</f>
        <v>TZ</v>
      </c>
      <c r="K34" s="39" t="s">
        <v>334</v>
      </c>
      <c r="L34" s="17" t="str">
        <f>IF(K34="","",(VLOOKUP(K34,tbDosen[NAMA DOSEN]:tbDosen[[NAMA DOSEN]:[KODE]],2,)))</f>
        <v>AAJ</v>
      </c>
      <c r="M34" s="16" t="str">
        <f>IF(OR(I34="",I34="None"),"",IF(OR(K34="",K34="None"),I34,I34&amp;" / "&amp;K34))</f>
        <v>Morteza Muthahhari, S.Kom., M.T.I / Alfian Abdul Jalid, S.Kom., M.Cs.</v>
      </c>
      <c r="N34" s="16" t="str">
        <f t="shared" si="0"/>
        <v>TZ / AAJ</v>
      </c>
      <c r="O34" s="18">
        <f>IF(OR(I34="",I34="None"),"",IF(OR(K34="",K34="None"),G34,G34/2))</f>
        <v>1.5</v>
      </c>
      <c r="P34" s="61" t="str">
        <f t="shared" si="7"/>
        <v>TIDAK</v>
      </c>
      <c r="Q34" s="203" t="str">
        <f t="shared" si="1"/>
        <v/>
      </c>
      <c r="R34" s="203" t="str">
        <f t="shared" si="2"/>
        <v/>
      </c>
      <c r="S34" s="203" t="str">
        <f t="shared" si="3"/>
        <v>Morteza Muthahhari, S.Kom., M.T.I</v>
      </c>
      <c r="T34" s="203" t="str">
        <f t="shared" si="4"/>
        <v>Alfian Abdul Jalid, S.Kom., M.Cs.</v>
      </c>
      <c r="U34" s="12">
        <v>1</v>
      </c>
      <c r="V34" s="11" t="str">
        <f t="shared" si="5"/>
        <v/>
      </c>
      <c r="W34" s="165">
        <f t="shared" si="6"/>
        <v>28</v>
      </c>
      <c r="X34" s="24"/>
    </row>
    <row r="35" spans="2:24" ht="45" customHeight="1" thickBot="1" x14ac:dyDescent="0.35">
      <c r="B35" s="24"/>
      <c r="C35" s="68" t="str">
        <f>IF(OR(I35="",I35="None"),"-",IF(OR(K35="",K35="None"),E35&amp; " "&amp;"SEM-"&amp;F35&amp;" "&amp;"SKS-"&amp;G35&amp;  " "&amp;H35&amp;" "&amp;J35,E35&amp; " "&amp;"SEM-"&amp;F35&amp;" SKS-"&amp;G35&amp;" "&amp;"S"&amp;H35&amp;  " "&amp;H35&amp;" "&amp;J35&amp;"/"&amp;L35))</f>
        <v>Organisasi  dan Arsitektur Komputer   SEM-2 SKS-3 SD D EE/KH</v>
      </c>
      <c r="D35" t="str">
        <f>IF(J$31&gt;='TABLE SISTEM'!A$6,'TABLE MK'!I$6,"")</f>
        <v>INF-55201-107</v>
      </c>
      <c r="E35" s="14" t="str">
        <f>IF(D35="","",(VLOOKUP(D35,Table6[[#All],[Kode MK]:[Mata Kuliah Prasayarat]],2,)))</f>
        <v>Organisasi  dan Arsitektur Komputer  </v>
      </c>
      <c r="F35" s="15">
        <f>IF(D35="","",(VLOOKUP(D35,Table6[[#All],[Kode MK]:[Mata Kuliah Prasayarat]],3,)))</f>
        <v>2</v>
      </c>
      <c r="G35" s="15">
        <f>IF(D35="","",(VLOOKUP(D35,Table6[[#All],[Kode MK]:[Mata Kuliah Prasayarat]],4,)))</f>
        <v>3</v>
      </c>
      <c r="H35" s="15" t="str">
        <f>IF(D35="","","D")</f>
        <v>D</v>
      </c>
      <c r="I35" s="21" t="s">
        <v>119</v>
      </c>
      <c r="J35" s="17" t="str">
        <f>IF(I35="","",(VLOOKUP(I35,tbDosen[NAMA DOSEN]:tbDosen[[NAMA DOSEN]:[KODE]],2,)))</f>
        <v>EE</v>
      </c>
      <c r="K35" s="39" t="s">
        <v>337</v>
      </c>
      <c r="L35" s="17" t="str">
        <f>IF(K35="","",(VLOOKUP(K35,tbDosen[NAMA DOSEN]:tbDosen[[NAMA DOSEN]:[KODE]],2,)))</f>
        <v>KH</v>
      </c>
      <c r="M35" s="16" t="str">
        <f>IF(OR(I35="",I35="None"),"",IF(OR(K35="",K35="None"),I35,I35&amp;" / "&amp;K35))</f>
        <v>Enda Esyudha Pratama, S.T., M.T. / Khairul Hafidh, S.T., M.Kom.</v>
      </c>
      <c r="N35" s="16" t="str">
        <f t="shared" si="0"/>
        <v>EE / KH</v>
      </c>
      <c r="O35" s="18">
        <f>IF(OR(I35="",I35="None"),"",IF(OR(K35="",K35="None"),G35,G35/2))</f>
        <v>1.5</v>
      </c>
      <c r="P35" s="61" t="str">
        <f t="shared" si="7"/>
        <v>TIDAK</v>
      </c>
      <c r="Q35" s="203" t="str">
        <f t="shared" si="1"/>
        <v/>
      </c>
      <c r="R35" s="203" t="str">
        <f t="shared" si="2"/>
        <v/>
      </c>
      <c r="S35" s="203" t="str">
        <f t="shared" si="3"/>
        <v>Enda Esyudha Pratama, S.T., M.T.</v>
      </c>
      <c r="T35" s="203" t="str">
        <f t="shared" si="4"/>
        <v>Khairul Hafidh, S.T., M.Kom.</v>
      </c>
      <c r="U35" s="12">
        <v>1</v>
      </c>
      <c r="V35" s="11" t="str">
        <f t="shared" si="5"/>
        <v/>
      </c>
      <c r="W35" s="165">
        <f t="shared" si="6"/>
        <v>28</v>
      </c>
      <c r="X35" s="24"/>
    </row>
    <row r="36" spans="2:24" ht="45" customHeight="1" x14ac:dyDescent="0.3">
      <c r="B36" s="24"/>
      <c r="C36" s="68" t="str">
        <f>IF(OR(I36="",I36="None"),"-",IF(OR(K36="",K36="None"),E36&amp; " "&amp;"SEM-"&amp;F36&amp;" "&amp;"SKS-"&amp;G36&amp;  " "&amp;H36&amp;" "&amp;J36,E36&amp; " "&amp;"SEM-"&amp;F36&amp;" SKS-"&amp;G36&amp;" "&amp;"S"&amp;H36&amp;  " "&amp;H36&amp;" "&amp;J36&amp;"/"&amp;L36))</f>
        <v>-</v>
      </c>
      <c r="D36" t="str">
        <f>IF(J$31&gt;='TABLE SISTEM'!A$7,'TABLE MK'!I$6,"")</f>
        <v/>
      </c>
      <c r="E36" s="14" t="str">
        <f>IF(D36="","",(VLOOKUP(D36,Table6[[#All],[Kode MK]:[Mata Kuliah Prasayarat]],2,)))</f>
        <v/>
      </c>
      <c r="F36" s="15" t="str">
        <f>IF(D36="","",(VLOOKUP(D36,Table6[[#All],[Kode MK]:[Mata Kuliah Prasayarat]],3,)))</f>
        <v/>
      </c>
      <c r="G36" s="15" t="str">
        <f>IF(D36="","",(VLOOKUP(D36,Table6[[#All],[Kode MK]:[Mata Kuliah Prasayarat]],4,)))</f>
        <v/>
      </c>
      <c r="H36" s="15" t="str">
        <f>IF(D36="","","E")</f>
        <v/>
      </c>
      <c r="I36" s="44" t="s">
        <v>105</v>
      </c>
      <c r="J36" s="17" t="str">
        <f>IF(I36="","",(VLOOKUP(I36,tbDosen[NAMA DOSEN]:tbDosen[[NAMA DOSEN]:[KODE]],2,)))</f>
        <v>-</v>
      </c>
      <c r="K36" s="44" t="s">
        <v>105</v>
      </c>
      <c r="L36" s="17" t="str">
        <f>IF(K36="","",(VLOOKUP(K36,tbDosen[NAMA DOSEN]:tbDosen[[NAMA DOSEN]:[KODE]],2,)))</f>
        <v>-</v>
      </c>
      <c r="M36" s="16" t="str">
        <f>IF(OR(I36="",I36="None"),"",IF(OR(K36="",K36="None"),I36,I36&amp;" / "&amp;K36))</f>
        <v/>
      </c>
      <c r="N36" s="16" t="str">
        <f t="shared" si="0"/>
        <v/>
      </c>
      <c r="O36" s="18" t="str">
        <f>IF(OR(I36="",I36="None"),"",IF(OR(K36="",K36="None"),G36,G36/2))</f>
        <v/>
      </c>
      <c r="P36" s="62" t="str">
        <f t="shared" si="7"/>
        <v/>
      </c>
      <c r="Q36" s="203" t="str">
        <f t="shared" si="1"/>
        <v/>
      </c>
      <c r="R36" s="203" t="str">
        <f t="shared" si="2"/>
        <v/>
      </c>
      <c r="S36" s="203" t="str">
        <f t="shared" si="3"/>
        <v/>
      </c>
      <c r="T36" s="203" t="str">
        <f t="shared" si="4"/>
        <v/>
      </c>
      <c r="U36" s="12">
        <v>0</v>
      </c>
      <c r="V36" s="11" t="str">
        <f t="shared" si="5"/>
        <v/>
      </c>
      <c r="W36" s="165">
        <f t="shared" si="6"/>
        <v>35</v>
      </c>
      <c r="X36" s="24"/>
    </row>
    <row r="37" spans="2:24" ht="45" customHeight="1" thickBot="1" x14ac:dyDescent="0.35">
      <c r="B37" s="24"/>
      <c r="C37" s="67"/>
      <c r="D37" s="41" t="s">
        <v>157</v>
      </c>
      <c r="E37" s="256" t="str">
        <f>'TABLE MK'!J7</f>
        <v>Dasar rekayasa perangkat lunak</v>
      </c>
      <c r="F37" s="256"/>
      <c r="G37" s="256"/>
      <c r="H37" s="256"/>
      <c r="I37" s="41" t="s">
        <v>95</v>
      </c>
      <c r="J37" s="40">
        <v>4</v>
      </c>
      <c r="K37" s="42"/>
      <c r="L37" s="43"/>
      <c r="M37" s="43" t="s">
        <v>161</v>
      </c>
      <c r="N37" s="45"/>
      <c r="O37" s="42"/>
      <c r="P37" s="63"/>
      <c r="Q37" s="203" t="str">
        <f t="shared" si="1"/>
        <v/>
      </c>
      <c r="R37" s="203" t="str">
        <f t="shared" si="2"/>
        <v/>
      </c>
      <c r="S37" s="203" t="str">
        <f t="shared" si="3"/>
        <v>Jumlah Kelas</v>
      </c>
      <c r="T37" s="203">
        <f t="shared" si="4"/>
        <v>0</v>
      </c>
      <c r="U37" s="12">
        <v>0</v>
      </c>
      <c r="V37" s="11" t="str">
        <f t="shared" si="5"/>
        <v/>
      </c>
      <c r="W37" s="165">
        <f t="shared" si="6"/>
        <v>35</v>
      </c>
      <c r="X37" s="24"/>
    </row>
    <row r="38" spans="2:24" ht="45" customHeight="1" thickBot="1" x14ac:dyDescent="0.35">
      <c r="B38" s="24"/>
      <c r="C38" s="68" t="str">
        <f>IF(OR(I38="",I38="None"),"-",IF(OR(K38="",K38="None"),E38&amp; " "&amp;"SEM-"&amp;F38&amp;" "&amp;"SKS-"&amp;G38&amp;  " "&amp;H38&amp;" "&amp;J38,E38&amp; " "&amp;"SEM-"&amp;F38&amp;" SKS-"&amp;G38&amp;" "&amp;"S"&amp;H38&amp;  " "&amp;H38&amp;" "&amp;J38&amp;"/"&amp;L38))</f>
        <v>Dasar rekayasa perangkat lunak SEM-2 SKS-3 SA A YS/DIU</v>
      </c>
      <c r="D38" s="14" t="str">
        <f>IF(J$37&gt;='TABLE SISTEM'!A$3,'TABLE MK'!I$7,"")</f>
        <v>INF-55201-108</v>
      </c>
      <c r="E38" s="14" t="str">
        <f>IF(D38="","",(VLOOKUP(D38,Table6[[#All],[Kode MK]:[Mata Kuliah Prasayarat]],2,)))</f>
        <v>Dasar rekayasa perangkat lunak</v>
      </c>
      <c r="F38" s="15">
        <f>IF(D38="","",(VLOOKUP(D38,Table6[[#All],[Kode MK]:[Mata Kuliah Prasayarat]],3,)))</f>
        <v>2</v>
      </c>
      <c r="G38" s="15">
        <f>IF(D38="","",(VLOOKUP(D38,Table6[[#All],[Kode MK]:[Mata Kuliah Prasayarat]],4,)))</f>
        <v>3</v>
      </c>
      <c r="H38" s="15" t="str">
        <f>IF(D38="","","A")</f>
        <v>A</v>
      </c>
      <c r="I38" s="21" t="s">
        <v>115</v>
      </c>
      <c r="J38" s="17" t="str">
        <f>IF(I38="","",(VLOOKUP(I38,tbDosen[NAMA DOSEN]:tbDosen[[NAMA DOSEN]:[KODE]],2,)))</f>
        <v>YS</v>
      </c>
      <c r="K38" s="39" t="s">
        <v>335</v>
      </c>
      <c r="L38" s="17" t="str">
        <f>IF(K38="","",(VLOOKUP(K38,tbDosen[NAMA DOSEN]:tbDosen[[NAMA DOSEN]:[KODE]],2,)))</f>
        <v>DIU</v>
      </c>
      <c r="M38" s="16" t="str">
        <f>IF(OR(I38="",I38="None"),"",IF(OR(K38="",K38="None"),I38,I38&amp;" / "&amp;K38))</f>
        <v>Dr. Yus Sholva, S.T., M.T. / Desepta Isna Ulumi, S.Kom, M.Kom.</v>
      </c>
      <c r="N38" s="16" t="str">
        <f t="shared" si="0"/>
        <v>YS / DIU</v>
      </c>
      <c r="O38" s="18">
        <f>IF(OR(I38="",I38="None"),"",IF(OR(K38="",K38="None"),G38,G38/2))</f>
        <v>1.5</v>
      </c>
      <c r="P38" s="60" t="str">
        <f t="shared" si="7"/>
        <v>TIDAK</v>
      </c>
      <c r="Q38" s="203" t="str">
        <f t="shared" si="1"/>
        <v/>
      </c>
      <c r="R38" s="203" t="str">
        <f t="shared" si="2"/>
        <v/>
      </c>
      <c r="S38" s="203" t="str">
        <f t="shared" si="3"/>
        <v>Dr. Yus Sholva, S.T., M.T.</v>
      </c>
      <c r="T38" s="203" t="str">
        <f t="shared" si="4"/>
        <v>Desepta Isna Ulumi, S.Kom, M.Kom.</v>
      </c>
      <c r="U38" s="12">
        <v>1</v>
      </c>
      <c r="V38" s="11" t="str">
        <f t="shared" si="5"/>
        <v/>
      </c>
      <c r="W38" s="165">
        <f t="shared" si="6"/>
        <v>28</v>
      </c>
      <c r="X38" s="24"/>
    </row>
    <row r="39" spans="2:24" ht="45" customHeight="1" thickBot="1" x14ac:dyDescent="0.35">
      <c r="B39" s="24"/>
      <c r="C39" s="68" t="str">
        <f>IF(OR(I39="",I39="None"),"-",IF(OR(K39="",K39="None"),E39&amp; " "&amp;"SEM-"&amp;F39&amp;" "&amp;"SKS-"&amp;G39&amp;  " "&amp;H39&amp;" "&amp;J39,E39&amp; " "&amp;"SEM-"&amp;F39&amp;" SKS-"&amp;G39&amp;" "&amp;"S"&amp;H39&amp;  " "&amp;H39&amp;" "&amp;J39&amp;"/"&amp;L39))</f>
        <v>Dasar rekayasa perangkat lunak SEM-2 SKS-3 SB B YS/DIU</v>
      </c>
      <c r="D39" s="14" t="str">
        <f>IF(J$37&gt;='TABLE SISTEM'!A$4,'TABLE MK'!I$7,"")</f>
        <v>INF-55201-108</v>
      </c>
      <c r="E39" s="14" t="str">
        <f>IF(D39="","",(VLOOKUP(D39,Table6[[#All],[Kode MK]:[Mata Kuliah Prasayarat]],2,)))</f>
        <v>Dasar rekayasa perangkat lunak</v>
      </c>
      <c r="F39" s="15">
        <f>IF(D39="","",(VLOOKUP(D39,Table6[[#All],[Kode MK]:[Mata Kuliah Prasayarat]],3,)))</f>
        <v>2</v>
      </c>
      <c r="G39" s="15">
        <f>IF(D39="","",(VLOOKUP(D39,Table6[[#All],[Kode MK]:[Mata Kuliah Prasayarat]],4,)))</f>
        <v>3</v>
      </c>
      <c r="H39" s="15" t="str">
        <f>IF(D39="","","B")</f>
        <v>B</v>
      </c>
      <c r="I39" s="21" t="s">
        <v>115</v>
      </c>
      <c r="J39" s="17" t="str">
        <f>IF(I39="","",(VLOOKUP(I39,tbDosen[NAMA DOSEN]:tbDosen[[NAMA DOSEN]:[KODE]],2,)))</f>
        <v>YS</v>
      </c>
      <c r="K39" s="21" t="s">
        <v>335</v>
      </c>
      <c r="L39" s="17" t="str">
        <f>IF(K39="","",(VLOOKUP(K39,tbDosen[NAMA DOSEN]:tbDosen[[NAMA DOSEN]:[KODE]],2,)))</f>
        <v>DIU</v>
      </c>
      <c r="M39" s="16" t="str">
        <f>IF(OR(I39="",I39="None"),"",IF(OR(K39="",K39="None"),I39,I39&amp;" / "&amp;K39))</f>
        <v>Dr. Yus Sholva, S.T., M.T. / Desepta Isna Ulumi, S.Kom, M.Kom.</v>
      </c>
      <c r="N39" s="16" t="str">
        <f t="shared" si="0"/>
        <v>YS / DIU</v>
      </c>
      <c r="O39" s="18">
        <f>IF(OR(I39="",I39="None"),"",IF(OR(K39="",K39="None"),G39,G39/2))</f>
        <v>1.5</v>
      </c>
      <c r="P39" s="61" t="str">
        <f t="shared" si="7"/>
        <v>TIDAK</v>
      </c>
      <c r="Q39" s="203" t="str">
        <f t="shared" si="1"/>
        <v/>
      </c>
      <c r="R39" s="203" t="str">
        <f t="shared" si="2"/>
        <v/>
      </c>
      <c r="S39" s="203" t="str">
        <f t="shared" si="3"/>
        <v>Dr. Yus Sholva, S.T., M.T.</v>
      </c>
      <c r="T39" s="203" t="str">
        <f t="shared" si="4"/>
        <v>Desepta Isna Ulumi, S.Kom, M.Kom.</v>
      </c>
      <c r="U39" s="12">
        <v>1</v>
      </c>
      <c r="V39" s="11" t="str">
        <f t="shared" si="5"/>
        <v/>
      </c>
      <c r="W39" s="165">
        <f t="shared" si="6"/>
        <v>28</v>
      </c>
      <c r="X39" s="24"/>
    </row>
    <row r="40" spans="2:24" ht="45" customHeight="1" thickBot="1" x14ac:dyDescent="0.35">
      <c r="B40" s="24"/>
      <c r="C40" s="68" t="str">
        <f>IF(OR(I40="",I40="None"),"-",IF(OR(K40="",K40="None"),E40&amp; " "&amp;"SEM-"&amp;F40&amp;" "&amp;"SKS-"&amp;G40&amp;  " "&amp;H40&amp;" "&amp;J40,E40&amp; " "&amp;"SEM-"&amp;F40&amp;" SKS-"&amp;G40&amp;" "&amp;"S"&amp;H40&amp;  " "&amp;H40&amp;" "&amp;J40&amp;"/"&amp;L40))</f>
        <v>Dasar rekayasa perangkat lunak SEM-2 SKS-3 SC C AP/DIU</v>
      </c>
      <c r="D40" s="14" t="str">
        <f>IF(J$37&gt;='TABLE SISTEM'!A$5,'TABLE MK'!I$7,"")</f>
        <v>INF-55201-108</v>
      </c>
      <c r="E40" s="14" t="str">
        <f>IF(D40="","",(VLOOKUP(D40,Table6[[#All],[Kode MK]:[Mata Kuliah Prasayarat]],2,)))</f>
        <v>Dasar rekayasa perangkat lunak</v>
      </c>
      <c r="F40" s="15">
        <f>IF(D40="","",(VLOOKUP(D40,Table6[[#All],[Kode MK]:[Mata Kuliah Prasayarat]],3,)))</f>
        <v>2</v>
      </c>
      <c r="G40" s="15">
        <f>IF(D40="","",(VLOOKUP(D40,Table6[[#All],[Kode MK]:[Mata Kuliah Prasayarat]],4,)))</f>
        <v>3</v>
      </c>
      <c r="H40" s="15" t="str">
        <f>IF(D40="","","C")</f>
        <v>C</v>
      </c>
      <c r="I40" s="21" t="s">
        <v>107</v>
      </c>
      <c r="J40" s="17" t="str">
        <f>IF(I40="","",(VLOOKUP(I40,tbDosen[NAMA DOSEN]:tbDosen[[NAMA DOSEN]:[KODE]],2,)))</f>
        <v>AP</v>
      </c>
      <c r="K40" s="21" t="s">
        <v>335</v>
      </c>
      <c r="L40" s="17" t="str">
        <f>IF(K40="","",(VLOOKUP(K40,tbDosen[NAMA DOSEN]:tbDosen[[NAMA DOSEN]:[KODE]],2,)))</f>
        <v>DIU</v>
      </c>
      <c r="M40" s="16" t="str">
        <f>IF(OR(I40="",I40="None"),"",IF(OR(K40="",K40="None"),I40,I40&amp;" / "&amp;K40))</f>
        <v>Anggi Perwitasari, S.T., M.T. / Desepta Isna Ulumi, S.Kom, M.Kom.</v>
      </c>
      <c r="N40" s="16" t="str">
        <f t="shared" si="0"/>
        <v>AP / DIU</v>
      </c>
      <c r="O40" s="18">
        <f>IF(OR(I40="",I40="None"),"",IF(OR(K40="",K40="None"),G40,G40/2))</f>
        <v>1.5</v>
      </c>
      <c r="P40" s="61" t="str">
        <f t="shared" si="7"/>
        <v>TIDAK</v>
      </c>
      <c r="Q40" s="203" t="str">
        <f t="shared" si="1"/>
        <v/>
      </c>
      <c r="R40" s="203" t="str">
        <f t="shared" si="2"/>
        <v/>
      </c>
      <c r="S40" s="203" t="str">
        <f t="shared" si="3"/>
        <v>Anggi Perwitasari, S.T., M.T.</v>
      </c>
      <c r="T40" s="203" t="str">
        <f t="shared" si="4"/>
        <v>Desepta Isna Ulumi, S.Kom, M.Kom.</v>
      </c>
      <c r="U40" s="12">
        <v>1</v>
      </c>
      <c r="V40" s="11" t="str">
        <f t="shared" si="5"/>
        <v/>
      </c>
      <c r="W40" s="165">
        <f t="shared" si="6"/>
        <v>28</v>
      </c>
      <c r="X40" s="24"/>
    </row>
    <row r="41" spans="2:24" ht="45" customHeight="1" thickBot="1" x14ac:dyDescent="0.35">
      <c r="B41" s="24"/>
      <c r="C41" s="68" t="str">
        <f>IF(OR(I41="",I41="None"),"-",IF(OR(K41="",K41="None"),E41&amp; " "&amp;"SEM-"&amp;F41&amp;" "&amp;"SKS-"&amp;G41&amp;  " "&amp;H41&amp;" "&amp;J41,E41&amp; " "&amp;"SEM-"&amp;F41&amp;" SKS-"&amp;G41&amp;" "&amp;"S"&amp;H41&amp;  " "&amp;H41&amp;" "&amp;J41&amp;"/"&amp;L41))</f>
        <v>Dasar rekayasa perangkat lunak SEM-2 SKS-3 SD D AP/DIU</v>
      </c>
      <c r="D41" s="14" t="str">
        <f>IF(J$37&gt;='TABLE SISTEM'!A$6,'TABLE MK'!I$7,"")</f>
        <v>INF-55201-108</v>
      </c>
      <c r="E41" s="14" t="str">
        <f>IF(D41="","",(VLOOKUP(D41,Table6[[#All],[Kode MK]:[Mata Kuliah Prasayarat]],2,)))</f>
        <v>Dasar rekayasa perangkat lunak</v>
      </c>
      <c r="F41" s="15">
        <f>IF(D41="","",(VLOOKUP(D41,Table6[[#All],[Kode MK]:[Mata Kuliah Prasayarat]],3,)))</f>
        <v>2</v>
      </c>
      <c r="G41" s="15">
        <f>IF(D41="","",(VLOOKUP(D41,Table6[[#All],[Kode MK]:[Mata Kuliah Prasayarat]],4,)))</f>
        <v>3</v>
      </c>
      <c r="H41" s="15" t="str">
        <f>IF(D41="","","D")</f>
        <v>D</v>
      </c>
      <c r="I41" s="21" t="s">
        <v>107</v>
      </c>
      <c r="J41" s="17" t="str">
        <f>IF(I41="","",(VLOOKUP(I41,tbDosen[NAMA DOSEN]:tbDosen[[NAMA DOSEN]:[KODE]],2,)))</f>
        <v>AP</v>
      </c>
      <c r="K41" s="21" t="s">
        <v>335</v>
      </c>
      <c r="L41" s="17" t="str">
        <f>IF(K41="","",(VLOOKUP(K41,tbDosen[NAMA DOSEN]:tbDosen[[NAMA DOSEN]:[KODE]],2,)))</f>
        <v>DIU</v>
      </c>
      <c r="M41" s="16" t="str">
        <f>IF(OR(I41="",I41="None"),"",IF(OR(K41="",K41="None"),I41,I41&amp;" / "&amp;K41))</f>
        <v>Anggi Perwitasari, S.T., M.T. / Desepta Isna Ulumi, S.Kom, M.Kom.</v>
      </c>
      <c r="N41" s="16" t="str">
        <f t="shared" si="0"/>
        <v>AP / DIU</v>
      </c>
      <c r="O41" s="18">
        <f>IF(OR(I41="",I41="None"),"",IF(OR(K41="",K41="None"),G41,G41/2))</f>
        <v>1.5</v>
      </c>
      <c r="P41" s="61" t="str">
        <f t="shared" si="7"/>
        <v>TIDAK</v>
      </c>
      <c r="Q41" s="203" t="str">
        <f t="shared" si="1"/>
        <v/>
      </c>
      <c r="R41" s="203" t="str">
        <f t="shared" si="2"/>
        <v/>
      </c>
      <c r="S41" s="203" t="str">
        <f t="shared" si="3"/>
        <v>Anggi Perwitasari, S.T., M.T.</v>
      </c>
      <c r="T41" s="203" t="str">
        <f t="shared" si="4"/>
        <v>Desepta Isna Ulumi, S.Kom, M.Kom.</v>
      </c>
      <c r="U41" s="12">
        <v>1</v>
      </c>
      <c r="V41" s="11" t="str">
        <f t="shared" si="5"/>
        <v/>
      </c>
      <c r="W41" s="165">
        <f t="shared" si="6"/>
        <v>28</v>
      </c>
      <c r="X41" s="24"/>
    </row>
    <row r="42" spans="2:24" ht="45" customHeight="1" x14ac:dyDescent="0.3">
      <c r="B42" s="24"/>
      <c r="C42" s="68" t="str">
        <f>IF(OR(I42="",I42="None"),"-",IF(OR(K42="",K42="None"),E42&amp; " "&amp;"SEM-"&amp;F42&amp;" "&amp;"SKS-"&amp;G42&amp;  " "&amp;H42&amp;" "&amp;J42,E42&amp; " "&amp;"SEM-"&amp;F42&amp;" SKS-"&amp;G42&amp;" "&amp;"S"&amp;H42&amp;  " "&amp;H42&amp;" "&amp;J42&amp;"/"&amp;L42))</f>
        <v>-</v>
      </c>
      <c r="D42" s="14" t="str">
        <f>IF(J$37&gt;='TABLE SISTEM'!A$7,'TABLE MK'!I$7,"")</f>
        <v/>
      </c>
      <c r="E42" s="14" t="str">
        <f>IF(D42="","",(VLOOKUP(D42,Table6[[#All],[Kode MK]:[Mata Kuliah Prasayarat]],2,)))</f>
        <v/>
      </c>
      <c r="F42" s="15" t="str">
        <f>IF(D42="","",(VLOOKUP(D42,Table6[[#All],[Kode MK]:[Mata Kuliah Prasayarat]],3,)))</f>
        <v/>
      </c>
      <c r="G42" s="15" t="str">
        <f>IF(D42="","",(VLOOKUP(D42,Table6[[#All],[Kode MK]:[Mata Kuliah Prasayarat]],4,)))</f>
        <v/>
      </c>
      <c r="H42" s="15" t="str">
        <f>IF(D42="","","E")</f>
        <v/>
      </c>
      <c r="I42" s="44" t="s">
        <v>105</v>
      </c>
      <c r="J42" s="17" t="str">
        <f>IF(I42="","",(VLOOKUP(I42,tbDosen[NAMA DOSEN]:tbDosen[[NAMA DOSEN]:[KODE]],2,)))</f>
        <v>-</v>
      </c>
      <c r="K42" s="44" t="s">
        <v>105</v>
      </c>
      <c r="L42" s="17" t="str">
        <f>IF(K42="","",(VLOOKUP(K42,tbDosen[NAMA DOSEN]:tbDosen[[NAMA DOSEN]:[KODE]],2,)))</f>
        <v>-</v>
      </c>
      <c r="M42" s="16" t="str">
        <f>IF(OR(I42="",I42="None"),"",IF(OR(K42="",K42="None"),I42,I42&amp;" / "&amp;K42))</f>
        <v/>
      </c>
      <c r="N42" s="16" t="str">
        <f t="shared" si="0"/>
        <v/>
      </c>
      <c r="O42" s="18" t="str">
        <f>IF(OR(I42="",I42="None"),"",IF(OR(K42="",K42="None"),G42,G42/2))</f>
        <v/>
      </c>
      <c r="P42" s="62" t="str">
        <f t="shared" si="7"/>
        <v/>
      </c>
      <c r="Q42" s="203" t="str">
        <f t="shared" si="1"/>
        <v/>
      </c>
      <c r="R42" s="203" t="str">
        <f t="shared" si="2"/>
        <v/>
      </c>
      <c r="S42" s="203" t="str">
        <f t="shared" si="3"/>
        <v/>
      </c>
      <c r="T42" s="203" t="str">
        <f t="shared" si="4"/>
        <v/>
      </c>
      <c r="U42" s="12">
        <v>0</v>
      </c>
      <c r="V42" s="11" t="str">
        <f t="shared" si="5"/>
        <v/>
      </c>
      <c r="W42" s="165">
        <f t="shared" si="6"/>
        <v>35</v>
      </c>
      <c r="X42" s="24"/>
    </row>
    <row r="43" spans="2:24" ht="45" customHeight="1" x14ac:dyDescent="0.3">
      <c r="B43" s="24"/>
      <c r="C43" s="67"/>
      <c r="D43" s="41" t="s">
        <v>157</v>
      </c>
      <c r="E43" s="256" t="str">
        <f>'TABLE MK'!J8</f>
        <v>Struktur  Data  dan Algoritma*</v>
      </c>
      <c r="F43" s="256"/>
      <c r="G43" s="256"/>
      <c r="H43" s="256"/>
      <c r="I43" s="41" t="s">
        <v>95</v>
      </c>
      <c r="J43" s="40">
        <v>3</v>
      </c>
      <c r="K43" s="42"/>
      <c r="L43" s="43"/>
      <c r="M43" s="43" t="s">
        <v>161</v>
      </c>
      <c r="N43" s="45"/>
      <c r="O43" s="42"/>
      <c r="P43" s="63"/>
      <c r="Q43" s="203" t="str">
        <f t="shared" si="1"/>
        <v/>
      </c>
      <c r="R43" s="203" t="str">
        <f t="shared" si="2"/>
        <v/>
      </c>
      <c r="S43" s="203" t="str">
        <f t="shared" si="3"/>
        <v>Jumlah Kelas</v>
      </c>
      <c r="T43" s="203">
        <f t="shared" si="4"/>
        <v>0</v>
      </c>
      <c r="U43" s="12">
        <v>0</v>
      </c>
      <c r="V43" s="11" t="str">
        <f t="shared" si="5"/>
        <v/>
      </c>
      <c r="W43" s="165">
        <f t="shared" si="6"/>
        <v>35</v>
      </c>
      <c r="X43" s="24"/>
    </row>
    <row r="44" spans="2:24" ht="45" customHeight="1" thickBot="1" x14ac:dyDescent="0.35">
      <c r="B44" s="24"/>
      <c r="C44" s="68" t="str">
        <f>IF(OR(I44="",I44="None"),"-",IF(OR(K44="",K44="None"),E44&amp; " "&amp;"SEM-"&amp;F44&amp;" "&amp;"SKS-"&amp;G44&amp;  " "&amp;H44&amp;" "&amp;J44,E44&amp; " "&amp;"SEM-"&amp;F44&amp;" SKS-"&amp;G44&amp;" "&amp;"S"&amp;H44&amp;  " "&amp;H44&amp;" "&amp;J44&amp;"/"&amp;L44))</f>
        <v>Struktur  Data  dan Algoritma* SEM-2 SKS-4 SA A TZ/FA</v>
      </c>
      <c r="D44" s="14" t="str">
        <f>IF(J$43&gt;='TABLE SISTEM'!A$3,'TABLE MK'!I$8,"")</f>
        <v>INF-55201-109</v>
      </c>
      <c r="E44" s="14" t="str">
        <f>IF(D44="","",(VLOOKUP(D44,Table6[[#All],[Kode MK]:[Mata Kuliah Prasayarat]],2,)))</f>
        <v>Struktur  Data  dan Algoritma*</v>
      </c>
      <c r="F44" s="15">
        <f>IF(D44="","",(VLOOKUP(D44,Table6[[#All],[Kode MK]:[Mata Kuliah Prasayarat]],3,)))</f>
        <v>2</v>
      </c>
      <c r="G44" s="15">
        <f>IF(D44="","",(VLOOKUP(D44,Table6[[#All],[Kode MK]:[Mata Kuliah Prasayarat]],4,)))</f>
        <v>4</v>
      </c>
      <c r="H44" s="15" t="str">
        <f>IF(D44="","","A")</f>
        <v>A</v>
      </c>
      <c r="I44" s="39" t="s">
        <v>137</v>
      </c>
      <c r="J44" s="17" t="str">
        <f>IF(I44="","",(VLOOKUP(I44,tbDosen[NAMA DOSEN]:tbDosen[[NAMA DOSEN]:[KODE]],2,)))</f>
        <v>TZ</v>
      </c>
      <c r="K44" s="39" t="s">
        <v>336</v>
      </c>
      <c r="L44" s="17" t="str">
        <f>IF(K44="","",(VLOOKUP(K44,tbDosen[NAMA DOSEN]:tbDosen[[NAMA DOSEN]:[KODE]],2,)))</f>
        <v>FA</v>
      </c>
      <c r="M44" s="16" t="str">
        <f>IF(OR(I44="",I44="None"),"",IF(OR(K44="",K44="None"),I44,I44&amp;" / "&amp;K44))</f>
        <v>Morteza Muthahhari, S.Kom., M.T.I / Fauzan Asrin, S.Kom, M. Kom.</v>
      </c>
      <c r="N44" s="16" t="str">
        <f t="shared" si="0"/>
        <v>TZ / FA</v>
      </c>
      <c r="O44" s="18">
        <f>IF(OR(I44="",I44="None"),"",IF(OR(K44="",K44="None"),G44,G44/2))</f>
        <v>2</v>
      </c>
      <c r="P44" s="60" t="str">
        <f t="shared" si="7"/>
        <v>TIDAK</v>
      </c>
      <c r="Q44" s="203" t="str">
        <f t="shared" si="1"/>
        <v>Morteza Muthahhari, S.Kom., M.T.I</v>
      </c>
      <c r="R44" s="203" t="str">
        <f t="shared" si="2"/>
        <v>Fauzan Asrin, S.Kom, M. Kom.</v>
      </c>
      <c r="S44" s="203" t="str">
        <f t="shared" si="3"/>
        <v>Morteza Muthahhari, S.Kom., M.T.I</v>
      </c>
      <c r="T44" s="203" t="str">
        <f t="shared" si="4"/>
        <v>Fauzan Asrin, S.Kom, M. Kom.</v>
      </c>
      <c r="U44" s="12">
        <v>2</v>
      </c>
      <c r="V44" s="11" t="str">
        <f t="shared" si="5"/>
        <v/>
      </c>
      <c r="W44" s="165">
        <f t="shared" si="6"/>
        <v>35</v>
      </c>
      <c r="X44" s="24"/>
    </row>
    <row r="45" spans="2:24" ht="45" customHeight="1" thickBot="1" x14ac:dyDescent="0.35">
      <c r="B45" s="24"/>
      <c r="C45" s="68" t="str">
        <f>IF(OR(I45="",I45="None"),"-",IF(OR(K45="",K45="None"),E45&amp; " "&amp;"SEM-"&amp;F45&amp;" "&amp;"SKS-"&amp;G45&amp;  " "&amp;H45&amp;" "&amp;J45,E45&amp; " "&amp;"SEM-"&amp;F45&amp;" SKS-"&amp;G45&amp;" "&amp;"S"&amp;H45&amp;  " "&amp;H45&amp;" "&amp;J45&amp;"/"&amp;L45))</f>
        <v>Struktur  Data  dan Algoritma* SEM-2 SKS-4 SB B TZ/FA</v>
      </c>
      <c r="D45" s="14" t="str">
        <f>IF(J$43&gt;='TABLE SISTEM'!A$4,'TABLE MK'!I$8,"")</f>
        <v>INF-55201-109</v>
      </c>
      <c r="E45" s="14" t="str">
        <f>IF(D45="","",(VLOOKUP(D45,Table6[[#All],[Kode MK]:[Mata Kuliah Prasayarat]],2,)))</f>
        <v>Struktur  Data  dan Algoritma*</v>
      </c>
      <c r="F45" s="15">
        <f>IF(D45="","",(VLOOKUP(D45,Table6[[#All],[Kode MK]:[Mata Kuliah Prasayarat]],3,)))</f>
        <v>2</v>
      </c>
      <c r="G45" s="15">
        <f>IF(D45="","",(VLOOKUP(D45,Table6[[#All],[Kode MK]:[Mata Kuliah Prasayarat]],4,)))</f>
        <v>4</v>
      </c>
      <c r="H45" s="15" t="str">
        <f>IF(D45="","","B")</f>
        <v>B</v>
      </c>
      <c r="I45" s="39" t="s">
        <v>137</v>
      </c>
      <c r="J45" s="17" t="str">
        <f>IF(I45="","",(VLOOKUP(I45,tbDosen[NAMA DOSEN]:tbDosen[[NAMA DOSEN]:[KODE]],2,)))</f>
        <v>TZ</v>
      </c>
      <c r="K45" s="39" t="s">
        <v>336</v>
      </c>
      <c r="L45" s="17" t="str">
        <f>IF(K45="","",(VLOOKUP(K45,tbDosen[NAMA DOSEN]:tbDosen[[NAMA DOSEN]:[KODE]],2,)))</f>
        <v>FA</v>
      </c>
      <c r="M45" s="16" t="str">
        <f>IF(OR(I45="",I45="None"),"",IF(OR(K45="",K45="None"),I45,I45&amp;" / "&amp;K45))</f>
        <v>Morteza Muthahhari, S.Kom., M.T.I / Fauzan Asrin, S.Kom, M. Kom.</v>
      </c>
      <c r="N45" s="16" t="str">
        <f t="shared" si="0"/>
        <v>TZ / FA</v>
      </c>
      <c r="O45" s="18">
        <f>IF(OR(I45="",I45="None"),"",IF(OR(K45="",K45="None"),G45,G45/2))</f>
        <v>2</v>
      </c>
      <c r="P45" s="61" t="str">
        <f t="shared" si="7"/>
        <v>TIDAK</v>
      </c>
      <c r="Q45" s="203" t="str">
        <f t="shared" si="1"/>
        <v>Morteza Muthahhari, S.Kom., M.T.I</v>
      </c>
      <c r="R45" s="203" t="str">
        <f t="shared" si="2"/>
        <v>Fauzan Asrin, S.Kom, M. Kom.</v>
      </c>
      <c r="S45" s="203" t="str">
        <f t="shared" si="3"/>
        <v>Morteza Muthahhari, S.Kom., M.T.I</v>
      </c>
      <c r="T45" s="203" t="str">
        <f t="shared" si="4"/>
        <v>Fauzan Asrin, S.Kom, M. Kom.</v>
      </c>
      <c r="U45" s="12">
        <v>2</v>
      </c>
      <c r="V45" s="11" t="str">
        <f t="shared" si="5"/>
        <v/>
      </c>
      <c r="W45" s="165">
        <f t="shared" si="6"/>
        <v>35</v>
      </c>
      <c r="X45" s="24"/>
    </row>
    <row r="46" spans="2:24" ht="45" customHeight="1" thickBot="1" x14ac:dyDescent="0.35">
      <c r="B46" s="24"/>
      <c r="C46" s="68" t="str">
        <f>IF(OR(I46="",I46="None"),"-",IF(OR(K46="",K46="None"),E46&amp; " "&amp;"SEM-"&amp;F46&amp;" "&amp;"SKS-"&amp;G46&amp;  " "&amp;H46&amp;" "&amp;J46,E46&amp; " "&amp;"SEM-"&amp;F46&amp;" SKS-"&amp;G46&amp;" "&amp;"S"&amp;H46&amp;  " "&amp;H46&amp;" "&amp;J46&amp;"/"&amp;L46))</f>
        <v>Struktur  Data  dan Algoritma* SEM-2 SKS-4 SC C TZ/FA</v>
      </c>
      <c r="D46" s="14" t="str">
        <f>IF(J$43&gt;='TABLE SISTEM'!A$5,'TABLE MK'!I$8,"")</f>
        <v>INF-55201-109</v>
      </c>
      <c r="E46" s="14" t="str">
        <f>IF(D46="","",(VLOOKUP(D46,Table6[[#All],[Kode MK]:[Mata Kuliah Prasayarat]],2,)))</f>
        <v>Struktur  Data  dan Algoritma*</v>
      </c>
      <c r="F46" s="15">
        <f>IF(D46="","",(VLOOKUP(D46,Table6[[#All],[Kode MK]:[Mata Kuliah Prasayarat]],3,)))</f>
        <v>2</v>
      </c>
      <c r="G46" s="15">
        <f>IF(D46="","",(VLOOKUP(D46,Table6[[#All],[Kode MK]:[Mata Kuliah Prasayarat]],4,)))</f>
        <v>4</v>
      </c>
      <c r="H46" s="15" t="str">
        <f>IF(D46="","","C")</f>
        <v>C</v>
      </c>
      <c r="I46" s="39" t="s">
        <v>137</v>
      </c>
      <c r="J46" s="17" t="str">
        <f>IF(I46="","",(VLOOKUP(I46,tbDosen[NAMA DOSEN]:tbDosen[[NAMA DOSEN]:[KODE]],2,)))</f>
        <v>TZ</v>
      </c>
      <c r="K46" s="39" t="s">
        <v>336</v>
      </c>
      <c r="L46" s="17" t="str">
        <f>IF(K46="","",(VLOOKUP(K46,tbDosen[NAMA DOSEN]:tbDosen[[NAMA DOSEN]:[KODE]],2,)))</f>
        <v>FA</v>
      </c>
      <c r="M46" s="16" t="str">
        <f>IF(OR(I46="",I46="None"),"",IF(OR(K46="",K46="None"),I46,I46&amp;" / "&amp;K46))</f>
        <v>Morteza Muthahhari, S.Kom., M.T.I / Fauzan Asrin, S.Kom, M. Kom.</v>
      </c>
      <c r="N46" s="16" t="str">
        <f t="shared" si="0"/>
        <v>TZ / FA</v>
      </c>
      <c r="O46" s="18">
        <f>IF(OR(I46="",I46="None"),"",IF(OR(K46="",K46="None"),G46,G46/2))</f>
        <v>2</v>
      </c>
      <c r="P46" s="61" t="str">
        <f t="shared" si="7"/>
        <v>TIDAK</v>
      </c>
      <c r="Q46" s="203" t="str">
        <f t="shared" si="1"/>
        <v>Morteza Muthahhari, S.Kom., M.T.I</v>
      </c>
      <c r="R46" s="203" t="str">
        <f t="shared" si="2"/>
        <v>Fauzan Asrin, S.Kom, M. Kom.</v>
      </c>
      <c r="S46" s="203" t="str">
        <f t="shared" si="3"/>
        <v>Morteza Muthahhari, S.Kom., M.T.I</v>
      </c>
      <c r="T46" s="203" t="str">
        <f t="shared" si="4"/>
        <v>Fauzan Asrin, S.Kom, M. Kom.</v>
      </c>
      <c r="U46" s="12">
        <v>2</v>
      </c>
      <c r="V46" s="11" t="str">
        <f t="shared" si="5"/>
        <v/>
      </c>
      <c r="W46" s="165">
        <f t="shared" si="6"/>
        <v>35</v>
      </c>
      <c r="X46" s="24"/>
    </row>
    <row r="47" spans="2:24" ht="45" customHeight="1" thickBot="1" x14ac:dyDescent="0.35">
      <c r="B47" s="24"/>
      <c r="C47" s="68" t="str">
        <f>IF(OR(I47="",I47="None"),"-",IF(OR(K47="",K47="None"),E47&amp; " "&amp;"SEM-"&amp;F47&amp;" "&amp;"SKS-"&amp;G47&amp;  " "&amp;H47&amp;" "&amp;J47,E47&amp; " "&amp;"SEM-"&amp;F47&amp;" SKS-"&amp;G47&amp;" "&amp;"S"&amp;H47&amp;  " "&amp;H47&amp;" "&amp;J47&amp;"/"&amp;L47))</f>
        <v>-</v>
      </c>
      <c r="D47" s="14" t="str">
        <f>IF(J$43&gt;='TABLE SISTEM'!A$6,'TABLE MK'!I$8,"")</f>
        <v/>
      </c>
      <c r="E47" s="14" t="str">
        <f>IF(D47="","",(VLOOKUP(D47,Table6[[#All],[Kode MK]:[Mata Kuliah Prasayarat]],2,)))</f>
        <v/>
      </c>
      <c r="F47" s="15" t="str">
        <f>IF(D47="","",(VLOOKUP(D47,Table6[[#All],[Kode MK]:[Mata Kuliah Prasayarat]],3,)))</f>
        <v/>
      </c>
      <c r="G47" s="15" t="str">
        <f>IF(D47="","",(VLOOKUP(D47,Table6[[#All],[Kode MK]:[Mata Kuliah Prasayarat]],4,)))</f>
        <v/>
      </c>
      <c r="H47" s="15" t="str">
        <f>IF(D47="","","D")</f>
        <v/>
      </c>
      <c r="I47" s="44" t="s">
        <v>105</v>
      </c>
      <c r="J47" s="17" t="str">
        <f>IF(I47="","",(VLOOKUP(I47,tbDosen[NAMA DOSEN]:tbDosen[[NAMA DOSEN]:[KODE]],2,)))</f>
        <v>-</v>
      </c>
      <c r="K47" s="44" t="s">
        <v>105</v>
      </c>
      <c r="L47" s="17" t="str">
        <f>IF(K47="","",(VLOOKUP(K47,tbDosen[NAMA DOSEN]:tbDosen[[NAMA DOSEN]:[KODE]],2,)))</f>
        <v>-</v>
      </c>
      <c r="M47" s="16" t="str">
        <f>IF(OR(I47="",I47="None"),"",IF(OR(K47="",K47="None"),I47,I47&amp;" / "&amp;K47))</f>
        <v/>
      </c>
      <c r="N47" s="16" t="str">
        <f t="shared" si="0"/>
        <v/>
      </c>
      <c r="O47" s="18" t="str">
        <f>IF(OR(I47="",I47="None"),"",IF(OR(K47="",K47="None"),G47,G47/2))</f>
        <v/>
      </c>
      <c r="P47" s="61" t="str">
        <f t="shared" si="7"/>
        <v/>
      </c>
      <c r="Q47" s="203" t="str">
        <f t="shared" si="1"/>
        <v/>
      </c>
      <c r="R47" s="203" t="str">
        <f t="shared" si="2"/>
        <v/>
      </c>
      <c r="S47" s="203" t="str">
        <f t="shared" si="3"/>
        <v/>
      </c>
      <c r="T47" s="203" t="str">
        <f t="shared" si="4"/>
        <v/>
      </c>
      <c r="U47" s="12">
        <v>0</v>
      </c>
      <c r="V47" s="11" t="str">
        <f t="shared" si="5"/>
        <v/>
      </c>
      <c r="W47" s="165">
        <f t="shared" si="6"/>
        <v>35</v>
      </c>
      <c r="X47" s="24"/>
    </row>
    <row r="48" spans="2:24" ht="45" customHeight="1" x14ac:dyDescent="0.3">
      <c r="B48" s="24"/>
      <c r="C48" s="68" t="str">
        <f>IF(OR(I48="",I48="None"),"-",IF(OR(K48="",K48="None"),E48&amp; " "&amp;"SEM-"&amp;F48&amp;" "&amp;"SKS-"&amp;G48&amp;  " "&amp;H48&amp;" "&amp;J48,E48&amp; " "&amp;"SEM-"&amp;F48&amp;" SKS-"&amp;G48&amp;" "&amp;"S"&amp;H48&amp;  " "&amp;H48&amp;" "&amp;J48&amp;"/"&amp;L48))</f>
        <v>-</v>
      </c>
      <c r="D48" s="14" t="str">
        <f>IF(J$43&gt;='TABLE SISTEM'!A$7,'TABLE MK'!I$8,"")</f>
        <v/>
      </c>
      <c r="E48" s="14" t="str">
        <f>IF(D48="","",(VLOOKUP(D48,Table6[[#All],[Kode MK]:[Mata Kuliah Prasayarat]],2,)))</f>
        <v/>
      </c>
      <c r="F48" s="15" t="str">
        <f>IF(D48="","",(VLOOKUP(D48,Table6[[#All],[Kode MK]:[Mata Kuliah Prasayarat]],3,)))</f>
        <v/>
      </c>
      <c r="G48" s="15" t="str">
        <f>IF(D48="","",(VLOOKUP(D48,Table6[[#All],[Kode MK]:[Mata Kuliah Prasayarat]],4,)))</f>
        <v/>
      </c>
      <c r="H48" s="15" t="str">
        <f>IF(D48="","","E")</f>
        <v/>
      </c>
      <c r="I48" s="44" t="s">
        <v>105</v>
      </c>
      <c r="J48" s="17" t="str">
        <f>IF(I48="","",(VLOOKUP(I48,tbDosen[NAMA DOSEN]:tbDosen[[NAMA DOSEN]:[KODE]],2,)))</f>
        <v>-</v>
      </c>
      <c r="K48" s="44" t="s">
        <v>105</v>
      </c>
      <c r="L48" s="17" t="str">
        <f>IF(K48="","",(VLOOKUP(K48,tbDosen[NAMA DOSEN]:tbDosen[[NAMA DOSEN]:[KODE]],2,)))</f>
        <v>-</v>
      </c>
      <c r="M48" s="16" t="str">
        <f>IF(OR(I48="",I48="None"),"",IF(OR(K48="",K48="None"),I48,I48&amp;" / "&amp;K48))</f>
        <v/>
      </c>
      <c r="N48" s="16" t="str">
        <f t="shared" si="0"/>
        <v/>
      </c>
      <c r="O48" s="18" t="str">
        <f>IF(OR(I48="",I48="None"),"",IF(OR(K48="",K48="None"),G48,G48/2))</f>
        <v/>
      </c>
      <c r="P48" s="62" t="str">
        <f t="shared" si="7"/>
        <v/>
      </c>
      <c r="Q48" s="203" t="str">
        <f t="shared" si="1"/>
        <v/>
      </c>
      <c r="R48" s="203" t="str">
        <f t="shared" si="2"/>
        <v/>
      </c>
      <c r="S48" s="203" t="str">
        <f t="shared" si="3"/>
        <v/>
      </c>
      <c r="T48" s="203" t="str">
        <f t="shared" si="4"/>
        <v/>
      </c>
      <c r="U48" s="12">
        <v>0</v>
      </c>
      <c r="V48" s="11" t="str">
        <f t="shared" si="5"/>
        <v/>
      </c>
      <c r="W48" s="165">
        <f t="shared" si="6"/>
        <v>35</v>
      </c>
      <c r="X48" s="24"/>
    </row>
    <row r="49" spans="2:24" ht="45" customHeight="1" thickBot="1" x14ac:dyDescent="0.35">
      <c r="B49" s="24"/>
      <c r="C49" s="67"/>
      <c r="D49" s="41" t="s">
        <v>157</v>
      </c>
      <c r="E49" s="256" t="str">
        <f>'TABLE MK'!J9</f>
        <v>Manajemen Basis Data*</v>
      </c>
      <c r="F49" s="256"/>
      <c r="G49" s="256"/>
      <c r="H49" s="256"/>
      <c r="I49" s="41" t="s">
        <v>95</v>
      </c>
      <c r="J49" s="40">
        <v>3</v>
      </c>
      <c r="K49" s="42"/>
      <c r="L49" s="43"/>
      <c r="M49" s="43" t="s">
        <v>161</v>
      </c>
      <c r="N49" s="45"/>
      <c r="O49" s="42"/>
      <c r="P49" s="63"/>
      <c r="Q49" s="203" t="str">
        <f t="shared" si="1"/>
        <v/>
      </c>
      <c r="R49" s="203" t="str">
        <f t="shared" si="2"/>
        <v/>
      </c>
      <c r="S49" s="203" t="str">
        <f t="shared" si="3"/>
        <v>Jumlah Kelas</v>
      </c>
      <c r="T49" s="203">
        <f t="shared" si="4"/>
        <v>0</v>
      </c>
      <c r="U49" s="12">
        <v>0</v>
      </c>
      <c r="V49" s="11" t="str">
        <f t="shared" si="5"/>
        <v/>
      </c>
      <c r="W49" s="165">
        <f t="shared" si="6"/>
        <v>35</v>
      </c>
      <c r="X49" s="24"/>
    </row>
    <row r="50" spans="2:24" ht="45" customHeight="1" thickBot="1" x14ac:dyDescent="0.35">
      <c r="B50" s="24"/>
      <c r="C50" s="68" t="str">
        <f>IF(OR(I50="",I50="None"),"-",IF(OR(K50="-",K50="None"),E50&amp; " "&amp;"SEM-"&amp;F50&amp;" "&amp;"SKS-"&amp;G50&amp;  " "&amp;H50&amp;" "&amp;J50,E50&amp; " "&amp;"SEM-"&amp;F50&amp;" SKS-"&amp;G50&amp;" "&amp;"S"&amp;H50&amp;  " "&amp;H50&amp;" "&amp;J50&amp;"/"&amp;L50))</f>
        <v>Manajemen Basis Data* SEM-4 SKS-4 SA A HSP/HN</v>
      </c>
      <c r="D50" s="14" t="str">
        <f>IF(J$49&gt;='TABLE SISTEM'!A$3,'TABLE MK'!I$9,"")</f>
        <v>INF-55201-208</v>
      </c>
      <c r="E50" s="14" t="str">
        <f>IF(D50="","",(VLOOKUP(D50,Table6[[#All],[Kode MK]:[Mata Kuliah Prasayarat]],2,)))</f>
        <v>Manajemen Basis Data*</v>
      </c>
      <c r="F50" s="15">
        <f>IF(D50="","",(VLOOKUP(D50,Table6[[#All],[Kode MK]:[Mata Kuliah Prasayarat]],3,)))</f>
        <v>4</v>
      </c>
      <c r="G50" s="15">
        <f>IF(D50="","",(VLOOKUP(D50,Table6[[#All],[Kode MK]:[Mata Kuliah Prasayarat]],4,)))</f>
        <v>4</v>
      </c>
      <c r="H50" s="15" t="str">
        <f>IF(D50="","","A")</f>
        <v>A</v>
      </c>
      <c r="I50" s="21" t="s">
        <v>128</v>
      </c>
      <c r="J50" s="17" t="str">
        <f>IF(I50="","",(VLOOKUP(I50,tbDosen[NAMA DOSEN]:tbDosen[[NAMA DOSEN]:[KODE]],2,)))</f>
        <v>HSP</v>
      </c>
      <c r="K50" s="21" t="s">
        <v>396</v>
      </c>
      <c r="L50" s="17" t="str">
        <f>IF(K50="","",(VLOOKUP(K50,tbDosen[NAMA DOSEN]:tbDosen[[NAMA DOSEN]:[KODE]],2,)))</f>
        <v>HN</v>
      </c>
      <c r="M50" s="16" t="str">
        <f>IF(OR(I50="",I50="None"),"",IF(OR(K50="",K50="None"),I50,I50&amp;" / "&amp;K50))</f>
        <v>Helen Sastypratiwi, S.T., M.Eng / Haried Novriando, S.Kom, M.Eng</v>
      </c>
      <c r="N50" s="16" t="str">
        <f t="shared" si="0"/>
        <v>HSP / HN</v>
      </c>
      <c r="O50" s="18">
        <f>IF(OR(I50="",I50="None"),"",IF(OR(K50="",K50="None"),G50,G50/2))</f>
        <v>2</v>
      </c>
      <c r="P50" s="60" t="str">
        <f t="shared" si="7"/>
        <v>TIDAK</v>
      </c>
      <c r="Q50" s="203" t="str">
        <f t="shared" si="1"/>
        <v>Helen Sastypratiwi, S.T., M.Eng</v>
      </c>
      <c r="R50" s="203" t="str">
        <f t="shared" si="2"/>
        <v>Haried Novriando, S.Kom, M.Eng</v>
      </c>
      <c r="S50" s="203" t="str">
        <f t="shared" si="3"/>
        <v>Helen Sastypratiwi, S.T., M.Eng</v>
      </c>
      <c r="T50" s="203" t="str">
        <f t="shared" si="4"/>
        <v>Haried Novriando, S.Kom, M.Eng</v>
      </c>
      <c r="U50" s="12">
        <v>2</v>
      </c>
      <c r="V50" s="11" t="str">
        <f t="shared" si="5"/>
        <v/>
      </c>
      <c r="W50" s="165">
        <f t="shared" si="6"/>
        <v>35</v>
      </c>
      <c r="X50" s="24"/>
    </row>
    <row r="51" spans="2:24" ht="45" customHeight="1" thickBot="1" x14ac:dyDescent="0.35">
      <c r="B51" s="24"/>
      <c r="C51" s="68" t="str">
        <f>IF(OR(I51="",I51="None"),"-",IF(OR(K51="-",K51="None"),E51&amp; " "&amp;"SEM-"&amp;F51&amp;" "&amp;"SKS-"&amp;G51&amp;  " "&amp;H51&amp;" "&amp;J51,E51&amp; " "&amp;"SEM-"&amp;F51&amp;" SKS-"&amp;G51&amp;" "&amp;"S"&amp;H51&amp;  " "&amp;H51&amp;" "&amp;J51&amp;"/"&amp;L51))</f>
        <v>Manajemen Basis Data* SEM-4 SKS-4 SB B HN/HSP</v>
      </c>
      <c r="D51" s="14" t="str">
        <f>IF(J$49&gt;='TABLE SISTEM'!A$4,'TABLE MK'!I$9,"")</f>
        <v>INF-55201-208</v>
      </c>
      <c r="E51" s="14" t="str">
        <f>IF(D51="","",(VLOOKUP(D51,Table6[[#All],[Kode MK]:[Mata Kuliah Prasayarat]],2,)))</f>
        <v>Manajemen Basis Data*</v>
      </c>
      <c r="F51" s="15">
        <f>IF(D51="","",(VLOOKUP(D51,Table6[[#All],[Kode MK]:[Mata Kuliah Prasayarat]],3,)))</f>
        <v>4</v>
      </c>
      <c r="G51" s="15">
        <f>IF(D51="","",(VLOOKUP(D51,Table6[[#All],[Kode MK]:[Mata Kuliah Prasayarat]],4,)))</f>
        <v>4</v>
      </c>
      <c r="H51" s="15" t="str">
        <f>IF(D51="","","B")</f>
        <v>B</v>
      </c>
      <c r="I51" s="21" t="s">
        <v>396</v>
      </c>
      <c r="J51" s="17" t="str">
        <f>IF(I51="","",(VLOOKUP(I51,tbDosen[NAMA DOSEN]:tbDosen[[NAMA DOSEN]:[KODE]],2,)))</f>
        <v>HN</v>
      </c>
      <c r="K51" s="21" t="s">
        <v>128</v>
      </c>
      <c r="L51" s="17" t="str">
        <f>IF(K51="","",(VLOOKUP(K51,tbDosen[NAMA DOSEN]:tbDosen[[NAMA DOSEN]:[KODE]],2,)))</f>
        <v>HSP</v>
      </c>
      <c r="M51" s="16" t="str">
        <f>IF(OR(I51="",I51="None"),"",IF(OR(K51="",K51="None"),I51,I51&amp;" / "&amp;K51))</f>
        <v>Haried Novriando, S.Kom, M.Eng / Helen Sastypratiwi, S.T., M.Eng</v>
      </c>
      <c r="N51" s="16" t="str">
        <f t="shared" si="0"/>
        <v>HN / HSP</v>
      </c>
      <c r="O51" s="18">
        <f>IF(OR(I51="",I51="None"),"",IF(OR(K51="",K51="None"),G51,G51/2))</f>
        <v>2</v>
      </c>
      <c r="P51" s="61" t="str">
        <f t="shared" si="7"/>
        <v>TIDAK</v>
      </c>
      <c r="Q51" s="203" t="str">
        <f t="shared" si="1"/>
        <v>Haried Novriando, S.Kom, M.Eng</v>
      </c>
      <c r="R51" s="203" t="str">
        <f t="shared" si="2"/>
        <v>Helen Sastypratiwi, S.T., M.Eng</v>
      </c>
      <c r="S51" s="203" t="str">
        <f t="shared" si="3"/>
        <v>Haried Novriando, S.Kom, M.Eng</v>
      </c>
      <c r="T51" s="203" t="str">
        <f t="shared" si="4"/>
        <v>Helen Sastypratiwi, S.T., M.Eng</v>
      </c>
      <c r="U51" s="12">
        <v>2</v>
      </c>
      <c r="V51" s="11" t="str">
        <f t="shared" si="5"/>
        <v/>
      </c>
      <c r="W51" s="165">
        <f t="shared" si="6"/>
        <v>35</v>
      </c>
      <c r="X51" s="24"/>
    </row>
    <row r="52" spans="2:24" ht="45" customHeight="1" thickBot="1" x14ac:dyDescent="0.35">
      <c r="B52" s="24"/>
      <c r="C52" s="68" t="str">
        <f>IF(OR(I52="",I52="None"),"-",IF(OR(K52="-",K52="None"),E52&amp; " "&amp;"SEM-"&amp;F52&amp;" "&amp;"SKS-"&amp;G52&amp;  " "&amp;H52&amp;" "&amp;J52,E52&amp; " "&amp;"SEM-"&amp;F52&amp;" SKS-"&amp;G52&amp;" "&amp;"S"&amp;H52&amp;  " "&amp;H52&amp;" "&amp;J52&amp;"/"&amp;L52))</f>
        <v>Manajemen Basis Data* SEM-4 SKS-4 SC C HSP/HN</v>
      </c>
      <c r="D52" s="14" t="str">
        <f>IF(J$49&gt;='TABLE SISTEM'!A$5,'TABLE MK'!I$9,"")</f>
        <v>INF-55201-208</v>
      </c>
      <c r="E52" s="14" t="str">
        <f>IF(D52="","",(VLOOKUP(D52,Table6[[#All],[Kode MK]:[Mata Kuliah Prasayarat]],2,)))</f>
        <v>Manajemen Basis Data*</v>
      </c>
      <c r="F52" s="15">
        <f>IF(D52="","",(VLOOKUP(D52,Table6[[#All],[Kode MK]:[Mata Kuliah Prasayarat]],3,)))</f>
        <v>4</v>
      </c>
      <c r="G52" s="15">
        <f>IF(D52="","",(VLOOKUP(D52,Table6[[#All],[Kode MK]:[Mata Kuliah Prasayarat]],4,)))</f>
        <v>4</v>
      </c>
      <c r="H52" s="15" t="str">
        <f>IF(D52="","","C")</f>
        <v>C</v>
      </c>
      <c r="I52" s="21" t="s">
        <v>128</v>
      </c>
      <c r="J52" s="17" t="str">
        <f>IF(I52="","",(VLOOKUP(I52,tbDosen[NAMA DOSEN]:tbDosen[[NAMA DOSEN]:[KODE]],2,)))</f>
        <v>HSP</v>
      </c>
      <c r="K52" s="21" t="s">
        <v>396</v>
      </c>
      <c r="L52" s="17" t="str">
        <f>IF(K52="","",(VLOOKUP(K52,tbDosen[NAMA DOSEN]:tbDosen[[NAMA DOSEN]:[KODE]],2,)))</f>
        <v>HN</v>
      </c>
      <c r="M52" s="16" t="str">
        <f>IF(OR(I52="",I52="None"),"",IF(OR(K52="",K52="None"),I52,I52&amp;" / "&amp;K52))</f>
        <v>Helen Sastypratiwi, S.T., M.Eng / Haried Novriando, S.Kom, M.Eng</v>
      </c>
      <c r="N52" s="16" t="str">
        <f t="shared" si="0"/>
        <v>HSP / HN</v>
      </c>
      <c r="O52" s="18">
        <f>IF(OR(I52="",I52="None"),"",IF(OR(K52="",K52="None"),G52,G52/2))</f>
        <v>2</v>
      </c>
      <c r="P52" s="61" t="str">
        <f t="shared" si="7"/>
        <v>TIDAK</v>
      </c>
      <c r="Q52" s="203" t="str">
        <f t="shared" si="1"/>
        <v>Helen Sastypratiwi, S.T., M.Eng</v>
      </c>
      <c r="R52" s="203" t="str">
        <f t="shared" si="2"/>
        <v>Haried Novriando, S.Kom, M.Eng</v>
      </c>
      <c r="S52" s="203" t="str">
        <f t="shared" si="3"/>
        <v>Helen Sastypratiwi, S.T., M.Eng</v>
      </c>
      <c r="T52" s="203" t="str">
        <f t="shared" si="4"/>
        <v>Haried Novriando, S.Kom, M.Eng</v>
      </c>
      <c r="U52" s="12">
        <v>2</v>
      </c>
      <c r="V52" s="11" t="str">
        <f t="shared" si="5"/>
        <v/>
      </c>
      <c r="W52" s="165">
        <f t="shared" si="6"/>
        <v>35</v>
      </c>
      <c r="X52" s="24"/>
    </row>
    <row r="53" spans="2:24" ht="45" customHeight="1" thickBot="1" x14ac:dyDescent="0.35">
      <c r="B53" s="24"/>
      <c r="C53" s="68" t="str">
        <f>IF(OR(I53="",I53="None"),"-",IF(OR(K53="-",K53="None"),E53&amp; " "&amp;"SEM-"&amp;F53&amp;" "&amp;"SKS-"&amp;G53&amp;  " "&amp;H53&amp;" "&amp;J53,E53&amp; " "&amp;"SEM-"&amp;F53&amp;" SKS-"&amp;G53&amp;" "&amp;"S"&amp;H53&amp;  " "&amp;H53&amp;" "&amp;J53&amp;"/"&amp;L53))</f>
        <v>-</v>
      </c>
      <c r="D53" s="14" t="str">
        <f>IF(J$49&gt;='TABLE SISTEM'!A$6,'TABLE MK'!I$9,"")</f>
        <v/>
      </c>
      <c r="E53" s="14" t="str">
        <f>IF(D53="","",(VLOOKUP(D53,Table6[[#All],[Kode MK]:[Mata Kuliah Prasayarat]],2,)))</f>
        <v/>
      </c>
      <c r="F53" s="15" t="str">
        <f>IF(D53="","",(VLOOKUP(D53,Table6[[#All],[Kode MK]:[Mata Kuliah Prasayarat]],3,)))</f>
        <v/>
      </c>
      <c r="G53" s="15" t="str">
        <f>IF(D53="","",(VLOOKUP(D53,Table6[[#All],[Kode MK]:[Mata Kuliah Prasayarat]],4,)))</f>
        <v/>
      </c>
      <c r="H53" s="15" t="str">
        <f>IF(D53="","","D")</f>
        <v/>
      </c>
      <c r="I53" s="44" t="s">
        <v>105</v>
      </c>
      <c r="J53" s="17" t="str">
        <f>IF(I53="","",(VLOOKUP(I53,tbDosen[NAMA DOSEN]:tbDosen[[NAMA DOSEN]:[KODE]],2,)))</f>
        <v>-</v>
      </c>
      <c r="K53" s="44" t="s">
        <v>105</v>
      </c>
      <c r="L53" s="17" t="str">
        <f>IF(K53="","",(VLOOKUP(K53,tbDosen[NAMA DOSEN]:tbDosen[[NAMA DOSEN]:[KODE]],2,)))</f>
        <v>-</v>
      </c>
      <c r="M53" s="16" t="str">
        <f>IF(OR(I53="",I53="None"),"",IF(OR(K53="",K53="None"),I53,I53&amp;" / "&amp;K53))</f>
        <v/>
      </c>
      <c r="N53" s="16" t="str">
        <f t="shared" si="0"/>
        <v/>
      </c>
      <c r="O53" s="18" t="str">
        <f>IF(OR(I53="",I53="None"),"",IF(OR(K53="",K53="None"),G53,G53/2))</f>
        <v/>
      </c>
      <c r="P53" s="61" t="str">
        <f t="shared" si="7"/>
        <v/>
      </c>
      <c r="Q53" s="203" t="str">
        <f t="shared" si="1"/>
        <v/>
      </c>
      <c r="R53" s="203" t="str">
        <f t="shared" si="2"/>
        <v/>
      </c>
      <c r="S53" s="203" t="str">
        <f t="shared" si="3"/>
        <v/>
      </c>
      <c r="T53" s="203" t="str">
        <f t="shared" si="4"/>
        <v/>
      </c>
      <c r="U53" s="12">
        <v>0</v>
      </c>
      <c r="V53" s="11" t="str">
        <f t="shared" si="5"/>
        <v/>
      </c>
      <c r="W53" s="165">
        <f t="shared" si="6"/>
        <v>35</v>
      </c>
      <c r="X53" s="24"/>
    </row>
    <row r="54" spans="2:24" ht="45" customHeight="1" x14ac:dyDescent="0.3">
      <c r="B54" s="24"/>
      <c r="C54" s="68" t="str">
        <f>IF(OR(I54="",I54="None"),"-",IF(OR(K54="-",K54="None"),E54&amp; " "&amp;"SEM-"&amp;F54&amp;" "&amp;"SKS-"&amp;G54&amp;  " "&amp;H54&amp;" "&amp;J54,E54&amp; " "&amp;"SEM-"&amp;F54&amp;" SKS-"&amp;G54&amp;" "&amp;"S"&amp;H54&amp;  " "&amp;H54&amp;" "&amp;J54&amp;"/"&amp;L54))</f>
        <v>-</v>
      </c>
      <c r="D54" s="14" t="str">
        <f>IF(J$49&gt;='TABLE SISTEM'!A$7,'TABLE MK'!I$9,"")</f>
        <v/>
      </c>
      <c r="E54" s="14" t="str">
        <f>IF(D54="","",(VLOOKUP(D54,Table6[[#All],[Kode MK]:[Mata Kuliah Prasayarat]],2,)))</f>
        <v/>
      </c>
      <c r="F54" s="15" t="str">
        <f>IF(D54="","",(VLOOKUP(D54,Table6[[#All],[Kode MK]:[Mata Kuliah Prasayarat]],3,)))</f>
        <v/>
      </c>
      <c r="G54" s="15" t="str">
        <f>IF(D54="","",(VLOOKUP(D54,Table6[[#All],[Kode MK]:[Mata Kuliah Prasayarat]],4,)))</f>
        <v/>
      </c>
      <c r="H54" s="15" t="str">
        <f>IF(D54="","","E")</f>
        <v/>
      </c>
      <c r="I54" s="44" t="s">
        <v>105</v>
      </c>
      <c r="J54" s="17" t="str">
        <f>IF(I54="","",(VLOOKUP(I54,tbDosen[NAMA DOSEN]:tbDosen[[NAMA DOSEN]:[KODE]],2,)))</f>
        <v>-</v>
      </c>
      <c r="K54" s="44" t="s">
        <v>105</v>
      </c>
      <c r="L54" s="17" t="str">
        <f>IF(K54="","",(VLOOKUP(K54,tbDosen[NAMA DOSEN]:tbDosen[[NAMA DOSEN]:[KODE]],2,)))</f>
        <v>-</v>
      </c>
      <c r="M54" s="16" t="str">
        <f>IF(OR(I54="",I54="None"),"",IF(OR(K54="",K54="None"),I54,I54&amp;" / "&amp;K54))</f>
        <v/>
      </c>
      <c r="N54" s="16" t="str">
        <f t="shared" si="0"/>
        <v/>
      </c>
      <c r="O54" s="18" t="str">
        <f>IF(OR(I54="",I54="None"),"",IF(OR(K54="",K54="None"),G54,G54/2))</f>
        <v/>
      </c>
      <c r="P54" s="62" t="str">
        <f t="shared" si="7"/>
        <v/>
      </c>
      <c r="Q54" s="203" t="str">
        <f t="shared" si="1"/>
        <v/>
      </c>
      <c r="R54" s="203" t="str">
        <f t="shared" si="2"/>
        <v/>
      </c>
      <c r="S54" s="203" t="str">
        <f t="shared" si="3"/>
        <v/>
      </c>
      <c r="T54" s="203" t="str">
        <f t="shared" si="4"/>
        <v/>
      </c>
      <c r="U54" s="12">
        <v>0</v>
      </c>
      <c r="V54" s="11" t="str">
        <f t="shared" si="5"/>
        <v/>
      </c>
      <c r="W54" s="165">
        <f t="shared" si="6"/>
        <v>35</v>
      </c>
      <c r="X54" s="24"/>
    </row>
    <row r="55" spans="2:24" ht="45" customHeight="1" thickBot="1" x14ac:dyDescent="0.35">
      <c r="B55" s="24"/>
      <c r="C55" s="67"/>
      <c r="D55" s="41" t="s">
        <v>157</v>
      </c>
      <c r="E55" s="256" t="str">
        <f>'TABLE MK'!J10</f>
        <v>Otomata</v>
      </c>
      <c r="F55" s="256"/>
      <c r="G55" s="256"/>
      <c r="H55" s="256"/>
      <c r="I55" s="41" t="s">
        <v>95</v>
      </c>
      <c r="J55" s="40">
        <v>4</v>
      </c>
      <c r="K55" s="42"/>
      <c r="L55" s="43"/>
      <c r="M55" s="43" t="s">
        <v>161</v>
      </c>
      <c r="N55" s="45"/>
      <c r="O55" s="42"/>
      <c r="P55" s="63"/>
      <c r="Q55" s="203" t="str">
        <f t="shared" si="1"/>
        <v/>
      </c>
      <c r="R55" s="203" t="str">
        <f t="shared" si="2"/>
        <v/>
      </c>
      <c r="S55" s="203" t="str">
        <f t="shared" si="3"/>
        <v>Jumlah Kelas</v>
      </c>
      <c r="T55" s="203">
        <f t="shared" si="4"/>
        <v>0</v>
      </c>
      <c r="U55" s="12">
        <v>0</v>
      </c>
      <c r="V55" s="11" t="str">
        <f t="shared" si="5"/>
        <v/>
      </c>
      <c r="W55" s="165">
        <f t="shared" si="6"/>
        <v>35</v>
      </c>
      <c r="X55" s="24"/>
    </row>
    <row r="56" spans="2:24" ht="45" customHeight="1" thickBot="1" x14ac:dyDescent="0.35">
      <c r="B56" s="24"/>
      <c r="C56" s="68" t="str">
        <f>IF(OR(I56="",I56="None"),"-",IF(OR(K56="",K56="None"),E56&amp; " "&amp;"SEM-"&amp;F56&amp;" "&amp;"SKS-"&amp;G56&amp;  " "&amp;H56&amp;" "&amp;J56,E56&amp; " "&amp;"SEM-"&amp;F56&amp;" SKS-"&amp;G56&amp;" "&amp;"S"&amp;H56&amp;  " "&amp;H56&amp;" "&amp;J56&amp;"/"&amp;L56))</f>
        <v>Otomata SEM-4 SKS-2 SA A NS/KH</v>
      </c>
      <c r="D56" s="14" t="str">
        <f>IF(J$55&gt;='TABLE SISTEM'!A$3,'TABLE MK'!I$10,"")</f>
        <v>INF-55201-209</v>
      </c>
      <c r="E56" s="14" t="str">
        <f>IF(D56="","",(VLOOKUP(D56,Table6[[#All],[Kode MK]:[Mata Kuliah Prasayarat]],2,)))</f>
        <v>Otomata</v>
      </c>
      <c r="F56" s="15">
        <f>IF(D56="","",(VLOOKUP(D56,Table6[[#All],[Kode MK]:[Mata Kuliah Prasayarat]],3,)))</f>
        <v>4</v>
      </c>
      <c r="G56" s="15">
        <f>IF(D56="","",(VLOOKUP(D56,Table6[[#All],[Kode MK]:[Mata Kuliah Prasayarat]],4,)))</f>
        <v>2</v>
      </c>
      <c r="H56" s="15" t="str">
        <f>IF(D56="","","A")</f>
        <v>A</v>
      </c>
      <c r="I56" s="21" t="s">
        <v>139</v>
      </c>
      <c r="J56" s="17" t="str">
        <f>IF(I56="","",(VLOOKUP(I56,tbDosen[NAMA DOSEN]:tbDosen[[NAMA DOSEN]:[KODE]],2,)))</f>
        <v>NS</v>
      </c>
      <c r="K56" s="39" t="s">
        <v>337</v>
      </c>
      <c r="L56" s="17" t="str">
        <f>IF(K56="","",(VLOOKUP(K56,tbDosen[NAMA DOSEN]:tbDosen[[NAMA DOSEN]:[KODE]],2,)))</f>
        <v>KH</v>
      </c>
      <c r="M56" s="16" t="str">
        <f>IF(OR(I56="",I56="None"),"",IF(OR(K56="",K56="None"),I56,I56&amp;" / "&amp;K56))</f>
        <v>Novi Safriadi, S.T., M.T. / Khairul Hafidh, S.T., M.Kom.</v>
      </c>
      <c r="N56" s="16" t="str">
        <f t="shared" si="0"/>
        <v>NS / KH</v>
      </c>
      <c r="O56" s="18">
        <f>IF(OR(I56="",I56="None"),"",IF(OR(K56="",K56="None"),G56,G56/2))</f>
        <v>1</v>
      </c>
      <c r="P56" s="60" t="str">
        <f t="shared" si="7"/>
        <v>TIDAK</v>
      </c>
      <c r="Q56" s="203" t="str">
        <f t="shared" si="1"/>
        <v/>
      </c>
      <c r="R56" s="203" t="str">
        <f t="shared" si="2"/>
        <v/>
      </c>
      <c r="S56" s="203" t="str">
        <f t="shared" si="3"/>
        <v>Novi Safriadi, S.T., M.T.</v>
      </c>
      <c r="T56" s="203" t="str">
        <f t="shared" si="4"/>
        <v>Khairul Hafidh, S.T., M.Kom.</v>
      </c>
      <c r="U56" s="12">
        <v>1</v>
      </c>
      <c r="V56" s="11" t="str">
        <f t="shared" si="5"/>
        <v/>
      </c>
      <c r="W56" s="165">
        <f t="shared" si="6"/>
        <v>28</v>
      </c>
      <c r="X56" s="24"/>
    </row>
    <row r="57" spans="2:24" ht="45" customHeight="1" thickBot="1" x14ac:dyDescent="0.35">
      <c r="B57" s="24"/>
      <c r="C57" s="68" t="str">
        <f>IF(OR(I57="",I57="None"),"-",IF(OR(K57="",K57="None"),E57&amp; " "&amp;"SEM-"&amp;F57&amp;" "&amp;"SKS-"&amp;G57&amp;  " "&amp;H57&amp;" "&amp;J57,E57&amp; " "&amp;"SEM-"&amp;F57&amp;" SKS-"&amp;G57&amp;" "&amp;"S"&amp;H57&amp;  " "&amp;H57&amp;" "&amp;J57&amp;"/"&amp;L57))</f>
        <v>Otomata SEM-4 SKS-2 SB B NS/KH</v>
      </c>
      <c r="D57" s="14" t="str">
        <f>IF(J$55&gt;='TABLE SISTEM'!A$4,'TABLE MK'!I$10,"")</f>
        <v>INF-55201-209</v>
      </c>
      <c r="E57" s="14" t="str">
        <f>IF(D57="","",(VLOOKUP(D57,Table6[[#All],[Kode MK]:[Mata Kuliah Prasayarat]],2,)))</f>
        <v>Otomata</v>
      </c>
      <c r="F57" s="15">
        <f>IF(D57="","",(VLOOKUP(D57,Table6[[#All],[Kode MK]:[Mata Kuliah Prasayarat]],3,)))</f>
        <v>4</v>
      </c>
      <c r="G57" s="15">
        <f>IF(D57="","",(VLOOKUP(D57,Table6[[#All],[Kode MK]:[Mata Kuliah Prasayarat]],4,)))</f>
        <v>2</v>
      </c>
      <c r="H57" s="15" t="str">
        <f>IF(D57="","","B")</f>
        <v>B</v>
      </c>
      <c r="I57" s="21" t="s">
        <v>139</v>
      </c>
      <c r="J57" s="17" t="str">
        <f>IF(I57="","",(VLOOKUP(I57,tbDosen[NAMA DOSEN]:tbDosen[[NAMA DOSEN]:[KODE]],2,)))</f>
        <v>NS</v>
      </c>
      <c r="K57" s="39" t="s">
        <v>337</v>
      </c>
      <c r="L57" s="17" t="str">
        <f>IF(K57="","",(VLOOKUP(K57,tbDosen[NAMA DOSEN]:tbDosen[[NAMA DOSEN]:[KODE]],2,)))</f>
        <v>KH</v>
      </c>
      <c r="M57" s="16" t="str">
        <f>IF(OR(I57="",I57="None"),"",IF(OR(K57="",K57="None"),I57,I57&amp;" / "&amp;K57))</f>
        <v>Novi Safriadi, S.T., M.T. / Khairul Hafidh, S.T., M.Kom.</v>
      </c>
      <c r="N57" s="16" t="str">
        <f t="shared" si="0"/>
        <v>NS / KH</v>
      </c>
      <c r="O57" s="18">
        <f>IF(OR(I57="",I57="None"),"",IF(OR(K57="",K57="None"),G57,G57/2))</f>
        <v>1</v>
      </c>
      <c r="P57" s="61" t="str">
        <f t="shared" si="7"/>
        <v>TIDAK</v>
      </c>
      <c r="Q57" s="203" t="str">
        <f t="shared" si="1"/>
        <v/>
      </c>
      <c r="R57" s="203" t="str">
        <f t="shared" si="2"/>
        <v/>
      </c>
      <c r="S57" s="203" t="str">
        <f t="shared" si="3"/>
        <v>Novi Safriadi, S.T., M.T.</v>
      </c>
      <c r="T57" s="203" t="str">
        <f t="shared" si="4"/>
        <v>Khairul Hafidh, S.T., M.Kom.</v>
      </c>
      <c r="U57" s="12">
        <v>1</v>
      </c>
      <c r="V57" s="11" t="str">
        <f t="shared" si="5"/>
        <v/>
      </c>
      <c r="W57" s="165">
        <f t="shared" si="6"/>
        <v>28</v>
      </c>
      <c r="X57" s="24"/>
    </row>
    <row r="58" spans="2:24" ht="45" customHeight="1" thickBot="1" x14ac:dyDescent="0.35">
      <c r="B58" s="24"/>
      <c r="C58" s="68" t="str">
        <f>IF(OR(I58="",I58="None"),"-",IF(OR(K58="",K58="None"),E58&amp; " "&amp;"SEM-"&amp;F58&amp;" "&amp;"SKS-"&amp;G58&amp;  " "&amp;H58&amp;" "&amp;J58,E58&amp; " "&amp;"SEM-"&amp;F58&amp;" SKS-"&amp;G58&amp;" "&amp;"S"&amp;H58&amp;  " "&amp;H58&amp;" "&amp;J58&amp;"/"&amp;L58))</f>
        <v>Otomata SEM-4 SKS-2 SC C NS/KH</v>
      </c>
      <c r="D58" s="14" t="str">
        <f>IF(J$55&gt;='TABLE SISTEM'!A$5,'TABLE MK'!I$10,"")</f>
        <v>INF-55201-209</v>
      </c>
      <c r="E58" s="14" t="str">
        <f>IF(D58="","",(VLOOKUP(D58,Table6[[#All],[Kode MK]:[Mata Kuliah Prasayarat]],2,)))</f>
        <v>Otomata</v>
      </c>
      <c r="F58" s="15">
        <f>IF(D58="","",(VLOOKUP(D58,Table6[[#All],[Kode MK]:[Mata Kuliah Prasayarat]],3,)))</f>
        <v>4</v>
      </c>
      <c r="G58" s="15">
        <f>IF(D58="","",(VLOOKUP(D58,Table6[[#All],[Kode MK]:[Mata Kuliah Prasayarat]],4,)))</f>
        <v>2</v>
      </c>
      <c r="H58" s="15" t="str">
        <f>IF(D58="","","C")</f>
        <v>C</v>
      </c>
      <c r="I58" s="21" t="s">
        <v>139</v>
      </c>
      <c r="J58" s="17" t="str">
        <f>IF(I58="","",(VLOOKUP(I58,tbDosen[NAMA DOSEN]:tbDosen[[NAMA DOSEN]:[KODE]],2,)))</f>
        <v>NS</v>
      </c>
      <c r="K58" s="39" t="s">
        <v>337</v>
      </c>
      <c r="L58" s="17" t="str">
        <f>IF(K58="","",(VLOOKUP(K58,tbDosen[NAMA DOSEN]:tbDosen[[NAMA DOSEN]:[KODE]],2,)))</f>
        <v>KH</v>
      </c>
      <c r="M58" s="16" t="str">
        <f>IF(OR(I58="",I58="None"),"",IF(OR(K58="",K58="None"),I58,I58&amp;" / "&amp;K58))</f>
        <v>Novi Safriadi, S.T., M.T. / Khairul Hafidh, S.T., M.Kom.</v>
      </c>
      <c r="N58" s="16" t="str">
        <f t="shared" si="0"/>
        <v>NS / KH</v>
      </c>
      <c r="O58" s="18">
        <f>IF(OR(I58="",I58="None"),"",IF(OR(K58="",K58="None"),G58,G58/2))</f>
        <v>1</v>
      </c>
      <c r="P58" s="61" t="str">
        <f t="shared" si="7"/>
        <v>TIDAK</v>
      </c>
      <c r="Q58" s="203" t="str">
        <f t="shared" si="1"/>
        <v/>
      </c>
      <c r="R58" s="203" t="str">
        <f t="shared" si="2"/>
        <v/>
      </c>
      <c r="S58" s="203" t="str">
        <f t="shared" si="3"/>
        <v>Novi Safriadi, S.T., M.T.</v>
      </c>
      <c r="T58" s="203" t="str">
        <f t="shared" si="4"/>
        <v>Khairul Hafidh, S.T., M.Kom.</v>
      </c>
      <c r="U58" s="12">
        <v>1</v>
      </c>
      <c r="V58" s="11" t="str">
        <f t="shared" si="5"/>
        <v/>
      </c>
      <c r="W58" s="165">
        <f t="shared" si="6"/>
        <v>28</v>
      </c>
      <c r="X58" s="24"/>
    </row>
    <row r="59" spans="2:24" ht="45" customHeight="1" thickBot="1" x14ac:dyDescent="0.35">
      <c r="B59" s="24"/>
      <c r="C59" s="68" t="str">
        <f>IF(OR(I59="",I59="None"),"-",IF(OR(K59="",K59="None"),E59&amp; " "&amp;"SEM-"&amp;F59&amp;" "&amp;"SKS-"&amp;G59&amp;  " "&amp;H59&amp;" "&amp;J59,E59&amp; " "&amp;"SEM-"&amp;F59&amp;" SKS-"&amp;G59&amp;" "&amp;"S"&amp;H59&amp;  " "&amp;H59&amp;" "&amp;J59&amp;"/"&amp;L59))</f>
        <v>Otomata SEM-4 SKS-2 SD D NS/KH</v>
      </c>
      <c r="D59" s="14" t="str">
        <f>IF(J$55&gt;='TABLE SISTEM'!A$6,'TABLE MK'!I$10,"")</f>
        <v>INF-55201-209</v>
      </c>
      <c r="E59" s="14" t="str">
        <f>IF(D59="","",(VLOOKUP(D59,Table6[[#All],[Kode MK]:[Mata Kuliah Prasayarat]],2,)))</f>
        <v>Otomata</v>
      </c>
      <c r="F59" s="15">
        <f>IF(D59="","",(VLOOKUP(D59,Table6[[#All],[Kode MK]:[Mata Kuliah Prasayarat]],3,)))</f>
        <v>4</v>
      </c>
      <c r="G59" s="15">
        <f>IF(D59="","",(VLOOKUP(D59,Table6[[#All],[Kode MK]:[Mata Kuliah Prasayarat]],4,)))</f>
        <v>2</v>
      </c>
      <c r="H59" s="15" t="str">
        <f>IF(D59="","","D")</f>
        <v>D</v>
      </c>
      <c r="I59" s="21" t="s">
        <v>139</v>
      </c>
      <c r="J59" s="17" t="str">
        <f>IF(I59="","",(VLOOKUP(I59,tbDosen[NAMA DOSEN]:tbDosen[[NAMA DOSEN]:[KODE]],2,)))</f>
        <v>NS</v>
      </c>
      <c r="K59" s="39" t="s">
        <v>337</v>
      </c>
      <c r="L59" s="17" t="str">
        <f>IF(K59="","",(VLOOKUP(K59,tbDosen[NAMA DOSEN]:tbDosen[[NAMA DOSEN]:[KODE]],2,)))</f>
        <v>KH</v>
      </c>
      <c r="M59" s="16" t="str">
        <f>IF(OR(I59="",I59="None"),"",IF(OR(K59="",K59="None"),I59,I59&amp;" / "&amp;K59))</f>
        <v>Novi Safriadi, S.T., M.T. / Khairul Hafidh, S.T., M.Kom.</v>
      </c>
      <c r="N59" s="16" t="str">
        <f t="shared" si="0"/>
        <v>NS / KH</v>
      </c>
      <c r="O59" s="18">
        <f>IF(OR(I59="",I59="None"),"",IF(OR(K59="",K59="None"),G59,G59/2))</f>
        <v>1</v>
      </c>
      <c r="P59" s="61" t="str">
        <f t="shared" si="7"/>
        <v>TIDAK</v>
      </c>
      <c r="Q59" s="203" t="str">
        <f t="shared" si="1"/>
        <v/>
      </c>
      <c r="R59" s="203" t="str">
        <f t="shared" si="2"/>
        <v/>
      </c>
      <c r="S59" s="203" t="str">
        <f t="shared" si="3"/>
        <v>Novi Safriadi, S.T., M.T.</v>
      </c>
      <c r="T59" s="203" t="str">
        <f t="shared" si="4"/>
        <v>Khairul Hafidh, S.T., M.Kom.</v>
      </c>
      <c r="U59" s="12">
        <v>1</v>
      </c>
      <c r="V59" s="11" t="str">
        <f t="shared" si="5"/>
        <v/>
      </c>
      <c r="W59" s="165">
        <f t="shared" si="6"/>
        <v>28</v>
      </c>
      <c r="X59" s="24"/>
    </row>
    <row r="60" spans="2:24" ht="45" customHeight="1" x14ac:dyDescent="0.3">
      <c r="B60" s="24"/>
      <c r="C60" s="68" t="str">
        <f>IF(OR(I60="",I60="None"),"-",IF(OR(K60="",K60="None"),E60&amp; " "&amp;"SEM-"&amp;F60&amp;" "&amp;"SKS-"&amp;G60&amp;  " "&amp;H60&amp;" "&amp;J60,E60&amp; " "&amp;"SEM-"&amp;F60&amp;" SKS-"&amp;G60&amp;" "&amp;"S"&amp;H60&amp;  " "&amp;H60&amp;" "&amp;J60&amp;"/"&amp;L60))</f>
        <v>-</v>
      </c>
      <c r="D60" s="14" t="str">
        <f>IF(J$55&gt;='TABLE SISTEM'!A$7,'TABLE MK'!I$10,"")</f>
        <v/>
      </c>
      <c r="E60" s="14" t="str">
        <f>IF(D60="","",(VLOOKUP(D60,Table6[[#All],[Kode MK]:[Mata Kuliah Prasayarat]],2,)))</f>
        <v/>
      </c>
      <c r="F60" s="15" t="str">
        <f>IF(D60="","",(VLOOKUP(D60,Table6[[#All],[Kode MK]:[Mata Kuliah Prasayarat]],3,)))</f>
        <v/>
      </c>
      <c r="G60" s="15" t="str">
        <f>IF(D60="","",(VLOOKUP(D60,Table6[[#All],[Kode MK]:[Mata Kuliah Prasayarat]],4,)))</f>
        <v/>
      </c>
      <c r="H60" s="15" t="str">
        <f>IF(D60="","","E")</f>
        <v/>
      </c>
      <c r="I60" s="44" t="s">
        <v>105</v>
      </c>
      <c r="J60" s="17" t="str">
        <f>IF(I60="","",(VLOOKUP(I60,tbDosen[NAMA DOSEN]:tbDosen[[NAMA DOSEN]:[KODE]],2,)))</f>
        <v>-</v>
      </c>
      <c r="K60" s="44" t="s">
        <v>105</v>
      </c>
      <c r="L60" s="17" t="str">
        <f>IF(K60="","",(VLOOKUP(K60,tbDosen[NAMA DOSEN]:tbDosen[[NAMA DOSEN]:[KODE]],2,)))</f>
        <v>-</v>
      </c>
      <c r="M60" s="16" t="str">
        <f>IF(OR(I60="",I60="None"),"",IF(OR(K60="",K60="None"),I60,I60&amp;" / "&amp;K60))</f>
        <v/>
      </c>
      <c r="N60" s="16" t="str">
        <f t="shared" si="0"/>
        <v/>
      </c>
      <c r="O60" s="18" t="str">
        <f>IF(OR(I60="",I60="None"),"",IF(OR(K60="",K60="None"),G60,G60/2))</f>
        <v/>
      </c>
      <c r="P60" s="62" t="str">
        <f t="shared" si="7"/>
        <v/>
      </c>
      <c r="Q60" s="203" t="str">
        <f t="shared" si="1"/>
        <v/>
      </c>
      <c r="R60" s="203" t="str">
        <f t="shared" si="2"/>
        <v/>
      </c>
      <c r="S60" s="203" t="str">
        <f t="shared" si="3"/>
        <v/>
      </c>
      <c r="T60" s="203" t="str">
        <f t="shared" si="4"/>
        <v/>
      </c>
      <c r="U60" s="12">
        <v>0</v>
      </c>
      <c r="V60" s="11" t="str">
        <f t="shared" si="5"/>
        <v/>
      </c>
      <c r="W60" s="165">
        <f t="shared" si="6"/>
        <v>35</v>
      </c>
      <c r="X60" s="24"/>
    </row>
    <row r="61" spans="2:24" ht="45" customHeight="1" thickBot="1" x14ac:dyDescent="0.35">
      <c r="B61" s="24"/>
      <c r="C61" s="67"/>
      <c r="D61" s="41" t="s">
        <v>157</v>
      </c>
      <c r="E61" s="256" t="str">
        <f>'TABLE MK'!J11</f>
        <v>Sistem Paralel dan Terdistribusi</v>
      </c>
      <c r="F61" s="256"/>
      <c r="G61" s="256"/>
      <c r="H61" s="256"/>
      <c r="I61" s="41" t="s">
        <v>95</v>
      </c>
      <c r="J61" s="40">
        <v>4</v>
      </c>
      <c r="K61" s="42"/>
      <c r="L61" s="43"/>
      <c r="M61" s="43" t="s">
        <v>161</v>
      </c>
      <c r="N61" s="45"/>
      <c r="O61" s="42"/>
      <c r="P61" s="63"/>
      <c r="Q61" s="203" t="str">
        <f t="shared" si="1"/>
        <v/>
      </c>
      <c r="R61" s="203" t="str">
        <f t="shared" si="2"/>
        <v/>
      </c>
      <c r="S61" s="203" t="str">
        <f t="shared" si="3"/>
        <v>Jumlah Kelas</v>
      </c>
      <c r="T61" s="203">
        <f t="shared" si="4"/>
        <v>0</v>
      </c>
      <c r="U61" s="12">
        <v>0</v>
      </c>
      <c r="V61" s="11" t="str">
        <f t="shared" si="5"/>
        <v/>
      </c>
      <c r="W61" s="165">
        <f t="shared" si="6"/>
        <v>35</v>
      </c>
      <c r="X61" s="24"/>
    </row>
    <row r="62" spans="2:24" ht="45" customHeight="1" thickBot="1" x14ac:dyDescent="0.35">
      <c r="B62" s="24"/>
      <c r="C62" s="68" t="str">
        <f>IF(OR(I62="",I62="None"),"-",IF(OR(K62="",K62="None"),E62&amp; " "&amp;"SEM-"&amp;F62&amp;" "&amp;"SKS-"&amp;G62&amp;  " "&amp;H62&amp;" "&amp;J62,E62&amp; " "&amp;"SEM-"&amp;F62&amp;" SKS-"&amp;G62&amp;" "&amp;"S"&amp;H62&amp;  " "&amp;H62&amp;" "&amp;J62&amp;"/"&amp;L62))</f>
        <v>Sistem Paralel dan Terdistribusi SEM-4 SKS-3 A HLN</v>
      </c>
      <c r="D62" s="14" t="str">
        <f>IF(J$61&gt;='TABLE SISTEM'!A$3,'TABLE MK'!I$11,"")</f>
        <v>INF-55201-210</v>
      </c>
      <c r="E62" s="14" t="str">
        <f>IF(D62="","",(VLOOKUP(D62,Table6[[#All],[Kode MK]:[Mata Kuliah Prasayarat]],2,)))</f>
        <v>Sistem Paralel dan Terdistribusi</v>
      </c>
      <c r="F62" s="15">
        <f>IF(D62="","",(VLOOKUP(D62,Table6[[#All],[Kode MK]:[Mata Kuliah Prasayarat]],3,)))</f>
        <v>4</v>
      </c>
      <c r="G62" s="15">
        <f>IF(D62="","",(VLOOKUP(D62,Table6[[#All],[Kode MK]:[Mata Kuliah Prasayarat]],4,)))</f>
        <v>3</v>
      </c>
      <c r="H62" s="15" t="str">
        <f>IF(D62="","","A")</f>
        <v>A</v>
      </c>
      <c r="I62" s="21" t="s">
        <v>130</v>
      </c>
      <c r="J62" s="17" t="str">
        <f>IF(I62="","",(VLOOKUP(I62,tbDosen[NAMA DOSEN]:tbDosen[[NAMA DOSEN]:[KODE]],2,)))</f>
        <v>HLN</v>
      </c>
      <c r="K62" s="39" t="s">
        <v>105</v>
      </c>
      <c r="L62" s="17" t="str">
        <f>IF(K62="","",(VLOOKUP(K62,tbDosen[NAMA DOSEN]:tbDosen[[NAMA DOSEN]:[KODE]],2,)))</f>
        <v>-</v>
      </c>
      <c r="M62" s="16" t="str">
        <f>IF(OR(I62="",I62="None"),"",IF(OR(K62="",K62="None"),I62,I62&amp;" / "&amp;K62))</f>
        <v>Helfi Nasution, S.Kom, M.Cs</v>
      </c>
      <c r="N62" s="16" t="str">
        <f t="shared" si="0"/>
        <v>HLN</v>
      </c>
      <c r="O62" s="18">
        <f>IF(OR(I62="",I62="None"),"",IF(OR(K62="",K62="None"),G62,G62/2))</f>
        <v>3</v>
      </c>
      <c r="P62" s="60" t="str">
        <f t="shared" si="7"/>
        <v>TIDAK</v>
      </c>
      <c r="Q62" s="203" t="str">
        <f t="shared" si="1"/>
        <v/>
      </c>
      <c r="R62" s="203" t="str">
        <f t="shared" si="2"/>
        <v/>
      </c>
      <c r="S62" s="203" t="str">
        <f t="shared" si="3"/>
        <v/>
      </c>
      <c r="T62" s="203" t="str">
        <f t="shared" si="4"/>
        <v/>
      </c>
      <c r="U62" s="12">
        <v>1</v>
      </c>
      <c r="V62" s="11" t="str">
        <f t="shared" si="5"/>
        <v/>
      </c>
      <c r="W62" s="165">
        <f t="shared" si="6"/>
        <v>28</v>
      </c>
      <c r="X62" s="24"/>
    </row>
    <row r="63" spans="2:24" ht="45" customHeight="1" thickBot="1" x14ac:dyDescent="0.35">
      <c r="B63" s="24"/>
      <c r="C63" s="68" t="str">
        <f>IF(OR(I63="",I63="None"),"-",IF(OR(K63="",K63="None"),E63&amp; " "&amp;"SEM-"&amp;F63&amp;" "&amp;"SKS-"&amp;G63&amp;  " "&amp;H63&amp;" "&amp;J63,E63&amp; " "&amp;"SEM-"&amp;F63&amp;" SKS-"&amp;G63&amp;" "&amp;"S"&amp;H63&amp;  " "&amp;H63&amp;" "&amp;J63&amp;"/"&amp;L63))</f>
        <v>Sistem Paralel dan Terdistribusi SEM-4 SKS-3 B HLN</v>
      </c>
      <c r="D63" s="14" t="str">
        <f>IF(J$61&gt;='TABLE SISTEM'!A$4,'TABLE MK'!I$11,"")</f>
        <v>INF-55201-210</v>
      </c>
      <c r="E63" s="14" t="str">
        <f>IF(D63="","",(VLOOKUP(D63,Table6[[#All],[Kode MK]:[Mata Kuliah Prasayarat]],2,)))</f>
        <v>Sistem Paralel dan Terdistribusi</v>
      </c>
      <c r="F63" s="15">
        <f>IF(D63="","",(VLOOKUP(D63,Table6[[#All],[Kode MK]:[Mata Kuliah Prasayarat]],3,)))</f>
        <v>4</v>
      </c>
      <c r="G63" s="15">
        <f>IF(D63="","",(VLOOKUP(D63,Table6[[#All],[Kode MK]:[Mata Kuliah Prasayarat]],4,)))</f>
        <v>3</v>
      </c>
      <c r="H63" s="15" t="str">
        <f>IF(D63="","","B")</f>
        <v>B</v>
      </c>
      <c r="I63" s="21" t="s">
        <v>130</v>
      </c>
      <c r="J63" s="17" t="str">
        <f>IF(I63="","",(VLOOKUP(I63,tbDosen[NAMA DOSEN]:tbDosen[[NAMA DOSEN]:[KODE]],2,)))</f>
        <v>HLN</v>
      </c>
      <c r="K63" s="39" t="s">
        <v>105</v>
      </c>
      <c r="L63" s="17" t="str">
        <f>IF(K63="","",(VLOOKUP(K63,tbDosen[NAMA DOSEN]:tbDosen[[NAMA DOSEN]:[KODE]],2,)))</f>
        <v>-</v>
      </c>
      <c r="M63" s="16" t="str">
        <f>IF(OR(I63="",I63="None"),"",IF(OR(K63="",K63="None"),I63,I63&amp;" / "&amp;K63))</f>
        <v>Helfi Nasution, S.Kom, M.Cs</v>
      </c>
      <c r="N63" s="16" t="str">
        <f t="shared" si="0"/>
        <v>HLN</v>
      </c>
      <c r="O63" s="18">
        <f>IF(OR(I63="",I63="None"),"",IF(OR(K63="",K63="None"),G63,G63/2))</f>
        <v>3</v>
      </c>
      <c r="P63" s="61" t="str">
        <f t="shared" si="7"/>
        <v>TIDAK</v>
      </c>
      <c r="Q63" s="203" t="str">
        <f t="shared" si="1"/>
        <v/>
      </c>
      <c r="R63" s="203" t="str">
        <f t="shared" si="2"/>
        <v/>
      </c>
      <c r="S63" s="203" t="str">
        <f t="shared" si="3"/>
        <v/>
      </c>
      <c r="T63" s="203" t="str">
        <f t="shared" si="4"/>
        <v/>
      </c>
      <c r="U63" s="12">
        <v>1</v>
      </c>
      <c r="V63" s="11" t="str">
        <f t="shared" si="5"/>
        <v/>
      </c>
      <c r="W63" s="165">
        <f t="shared" si="6"/>
        <v>28</v>
      </c>
      <c r="X63" s="24"/>
    </row>
    <row r="64" spans="2:24" ht="45" customHeight="1" thickBot="1" x14ac:dyDescent="0.35">
      <c r="B64" s="24"/>
      <c r="C64" s="68" t="str">
        <f>IF(OR(I64="",I64="None"),"-",IF(OR(K64="",K64="None"),E64&amp; " "&amp;"SEM-"&amp;F64&amp;" "&amp;"SKS-"&amp;G64&amp;  " "&amp;H64&amp;" "&amp;J64,E64&amp; " "&amp;"SEM-"&amp;F64&amp;" SKS-"&amp;G64&amp;" "&amp;"S"&amp;H64&amp;  " "&amp;H64&amp;" "&amp;J64&amp;"/"&amp;L64))</f>
        <v>Sistem Paralel dan Terdistribusi SEM-4 SKS-3 C HLN</v>
      </c>
      <c r="D64" s="14" t="str">
        <f>IF(J$61&gt;='TABLE SISTEM'!A$5,'TABLE MK'!I$11,"")</f>
        <v>INF-55201-210</v>
      </c>
      <c r="E64" s="14" t="str">
        <f>IF(D64="","",(VLOOKUP(D64,Table6[[#All],[Kode MK]:[Mata Kuliah Prasayarat]],2,)))</f>
        <v>Sistem Paralel dan Terdistribusi</v>
      </c>
      <c r="F64" s="15">
        <f>IF(D64="","",(VLOOKUP(D64,Table6[[#All],[Kode MK]:[Mata Kuliah Prasayarat]],3,)))</f>
        <v>4</v>
      </c>
      <c r="G64" s="15">
        <f>IF(D64="","",(VLOOKUP(D64,Table6[[#All],[Kode MK]:[Mata Kuliah Prasayarat]],4,)))</f>
        <v>3</v>
      </c>
      <c r="H64" s="15" t="str">
        <f>IF(D64="","","C")</f>
        <v>C</v>
      </c>
      <c r="I64" s="21" t="s">
        <v>130</v>
      </c>
      <c r="J64" s="17" t="str">
        <f>IF(I64="","",(VLOOKUP(I64,tbDosen[NAMA DOSEN]:tbDosen[[NAMA DOSEN]:[KODE]],2,)))</f>
        <v>HLN</v>
      </c>
      <c r="K64" s="39" t="s">
        <v>105</v>
      </c>
      <c r="L64" s="17" t="str">
        <f>IF(K64="","",(VLOOKUP(K64,tbDosen[NAMA DOSEN]:tbDosen[[NAMA DOSEN]:[KODE]],2,)))</f>
        <v>-</v>
      </c>
      <c r="M64" s="16" t="str">
        <f>IF(OR(I64="",I64="None"),"",IF(OR(K64="",K64="None"),I64,I64&amp;" / "&amp;K64))</f>
        <v>Helfi Nasution, S.Kom, M.Cs</v>
      </c>
      <c r="N64" s="16" t="str">
        <f t="shared" si="0"/>
        <v>HLN</v>
      </c>
      <c r="O64" s="18">
        <f>IF(OR(I64="",I64="None"),"",IF(OR(K64="",K64="None"),G64,G64/2))</f>
        <v>3</v>
      </c>
      <c r="P64" s="61" t="str">
        <f t="shared" si="7"/>
        <v>TIDAK</v>
      </c>
      <c r="Q64" s="203" t="str">
        <f t="shared" si="1"/>
        <v/>
      </c>
      <c r="R64" s="203" t="str">
        <f t="shared" si="2"/>
        <v/>
      </c>
      <c r="S64" s="203" t="str">
        <f t="shared" si="3"/>
        <v/>
      </c>
      <c r="T64" s="203" t="str">
        <f t="shared" si="4"/>
        <v/>
      </c>
      <c r="U64" s="12">
        <v>1</v>
      </c>
      <c r="V64" s="11" t="str">
        <f t="shared" si="5"/>
        <v/>
      </c>
      <c r="W64" s="165">
        <f t="shared" si="6"/>
        <v>28</v>
      </c>
      <c r="X64" s="24"/>
    </row>
    <row r="65" spans="2:24" ht="45" customHeight="1" thickBot="1" x14ac:dyDescent="0.35">
      <c r="B65" s="24"/>
      <c r="C65" s="68" t="str">
        <f>IF(OR(I65="",I65="None"),"-",IF(OR(K65="",K65="None"),E65&amp; " "&amp;"SEM-"&amp;F65&amp;" "&amp;"SKS-"&amp;G65&amp;  " "&amp;H65&amp;" "&amp;J65,E65&amp; " "&amp;"SEM-"&amp;F65&amp;" SKS-"&amp;G65&amp;" "&amp;"S"&amp;H65&amp;  " "&amp;H65&amp;" "&amp;J65&amp;"/"&amp;L65))</f>
        <v>Sistem Paralel dan Terdistribusi SEM-4 SKS-3 D HLN</v>
      </c>
      <c r="D65" s="14" t="str">
        <f>IF(J$61&gt;='TABLE SISTEM'!A$6,'TABLE MK'!I$11,"")</f>
        <v>INF-55201-210</v>
      </c>
      <c r="E65" s="14" t="str">
        <f>IF(D65="","",(VLOOKUP(D65,Table6[[#All],[Kode MK]:[Mata Kuliah Prasayarat]],2,)))</f>
        <v>Sistem Paralel dan Terdistribusi</v>
      </c>
      <c r="F65" s="15">
        <f>IF(D65="","",(VLOOKUP(D65,Table6[[#All],[Kode MK]:[Mata Kuliah Prasayarat]],3,)))</f>
        <v>4</v>
      </c>
      <c r="G65" s="15">
        <f>IF(D65="","",(VLOOKUP(D65,Table6[[#All],[Kode MK]:[Mata Kuliah Prasayarat]],4,)))</f>
        <v>3</v>
      </c>
      <c r="H65" s="15" t="str">
        <f>IF(D65="","","D")</f>
        <v>D</v>
      </c>
      <c r="I65" s="21" t="s">
        <v>130</v>
      </c>
      <c r="J65" s="17" t="str">
        <f>IF(I65="","",(VLOOKUP(I65,tbDosen[NAMA DOSEN]:tbDosen[[NAMA DOSEN]:[KODE]],2,)))</f>
        <v>HLN</v>
      </c>
      <c r="K65" s="39" t="s">
        <v>105</v>
      </c>
      <c r="L65" s="17" t="str">
        <f>IF(K65="","",(VLOOKUP(K65,tbDosen[NAMA DOSEN]:tbDosen[[NAMA DOSEN]:[KODE]],2,)))</f>
        <v>-</v>
      </c>
      <c r="M65" s="16" t="str">
        <f>IF(OR(I65="",I65="None"),"",IF(OR(K65="",K65="None"),I65,I65&amp;" / "&amp;K65))</f>
        <v>Helfi Nasution, S.Kom, M.Cs</v>
      </c>
      <c r="N65" s="16" t="str">
        <f t="shared" si="0"/>
        <v>HLN</v>
      </c>
      <c r="O65" s="18">
        <f>IF(OR(I65="",I65="None"),"",IF(OR(K65="",K65="None"),G65,G65/2))</f>
        <v>3</v>
      </c>
      <c r="P65" s="61" t="str">
        <f t="shared" si="7"/>
        <v>TIDAK</v>
      </c>
      <c r="Q65" s="203" t="str">
        <f t="shared" si="1"/>
        <v/>
      </c>
      <c r="R65" s="203" t="str">
        <f t="shared" si="2"/>
        <v/>
      </c>
      <c r="S65" s="203" t="str">
        <f t="shared" si="3"/>
        <v/>
      </c>
      <c r="T65" s="203" t="str">
        <f t="shared" si="4"/>
        <v/>
      </c>
      <c r="U65" s="12">
        <v>1</v>
      </c>
      <c r="V65" s="11" t="str">
        <f t="shared" si="5"/>
        <v/>
      </c>
      <c r="W65" s="165">
        <f t="shared" si="6"/>
        <v>28</v>
      </c>
      <c r="X65" s="24"/>
    </row>
    <row r="66" spans="2:24" ht="45" customHeight="1" thickBot="1" x14ac:dyDescent="0.35">
      <c r="B66" s="24"/>
      <c r="C66" s="68" t="str">
        <f>IF(OR(I66="",I66="None"),"-",IF(OR(K66="",K66="None"),E66&amp; " "&amp;"SEM-"&amp;F66&amp;" "&amp;"SKS-"&amp;G66&amp;  " "&amp;H66&amp;" "&amp;J66,E66&amp; " "&amp;"SEM-"&amp;F66&amp;" SKS-"&amp;G66&amp;" "&amp;"S"&amp;H66&amp;  " "&amp;H66&amp;" "&amp;J66&amp;"/"&amp;L66))</f>
        <v>-</v>
      </c>
      <c r="D66" s="14" t="str">
        <f>IF(J$61&gt;='TABLE SISTEM'!A$7,'TABLE MK'!I$11,"")</f>
        <v/>
      </c>
      <c r="E66" s="14" t="str">
        <f>IF(D66="","",(VLOOKUP(D66,Table6[[#All],[Kode MK]:[Mata Kuliah Prasayarat]],2,)))</f>
        <v/>
      </c>
      <c r="F66" s="15" t="str">
        <f>IF(D66="","",(VLOOKUP(D66,Table6[[#All],[Kode MK]:[Mata Kuliah Prasayarat]],3,)))</f>
        <v/>
      </c>
      <c r="G66" s="15" t="str">
        <f>IF(D66="","",(VLOOKUP(D66,Table6[[#All],[Kode MK]:[Mata Kuliah Prasayarat]],4,)))</f>
        <v/>
      </c>
      <c r="H66" s="15" t="str">
        <f>IF(D66="","","E")</f>
        <v/>
      </c>
      <c r="I66" s="44" t="s">
        <v>105</v>
      </c>
      <c r="J66" s="17" t="str">
        <f>IF(I66="","",(VLOOKUP(I66,tbDosen[NAMA DOSEN]:tbDosen[[NAMA DOSEN]:[KODE]],2,)))</f>
        <v>-</v>
      </c>
      <c r="K66" s="39" t="s">
        <v>105</v>
      </c>
      <c r="L66" s="17" t="str">
        <f>IF(K66="","",(VLOOKUP(K66,tbDosen[NAMA DOSEN]:tbDosen[[NAMA DOSEN]:[KODE]],2,)))</f>
        <v>-</v>
      </c>
      <c r="M66" s="16" t="str">
        <f>IF(OR(I66="",I66="None"),"",IF(OR(K66="",K66="None"),I66,I66&amp;" / "&amp;K66))</f>
        <v/>
      </c>
      <c r="N66" s="16" t="str">
        <f t="shared" si="0"/>
        <v/>
      </c>
      <c r="O66" s="18" t="str">
        <f>IF(OR(I66="",I66="None"),"",IF(OR(K66="",K66="None"),G66,G66/2))</f>
        <v/>
      </c>
      <c r="P66" s="62" t="str">
        <f t="shared" si="7"/>
        <v/>
      </c>
      <c r="Q66" s="203" t="str">
        <f t="shared" si="1"/>
        <v/>
      </c>
      <c r="R66" s="203" t="str">
        <f t="shared" si="2"/>
        <v/>
      </c>
      <c r="S66" s="203" t="str">
        <f t="shared" si="3"/>
        <v/>
      </c>
      <c r="T66" s="203" t="str">
        <f t="shared" si="4"/>
        <v/>
      </c>
      <c r="U66" s="12">
        <v>0</v>
      </c>
      <c r="V66" s="11" t="str">
        <f t="shared" si="5"/>
        <v/>
      </c>
      <c r="W66" s="165">
        <f t="shared" si="6"/>
        <v>35</v>
      </c>
      <c r="X66" s="24"/>
    </row>
    <row r="67" spans="2:24" ht="45" customHeight="1" thickBot="1" x14ac:dyDescent="0.35">
      <c r="B67" s="24"/>
      <c r="C67" s="67"/>
      <c r="D67" s="41" t="s">
        <v>157</v>
      </c>
      <c r="E67" s="256" t="str">
        <f>'TABLE MK'!J12</f>
        <v>Pemrograman  Berorientasi  Objek * </v>
      </c>
      <c r="F67" s="256"/>
      <c r="G67" s="256"/>
      <c r="H67" s="256"/>
      <c r="I67" s="41" t="s">
        <v>95</v>
      </c>
      <c r="J67" s="40">
        <v>3</v>
      </c>
      <c r="K67" s="42"/>
      <c r="L67" s="43"/>
      <c r="M67" s="43" t="s">
        <v>161</v>
      </c>
      <c r="N67" s="45"/>
      <c r="O67" s="42"/>
      <c r="P67" s="63"/>
      <c r="Q67" s="203" t="str">
        <f t="shared" si="1"/>
        <v/>
      </c>
      <c r="R67" s="203" t="str">
        <f t="shared" si="2"/>
        <v/>
      </c>
      <c r="S67" s="203" t="str">
        <f t="shared" si="3"/>
        <v>Jumlah Kelas</v>
      </c>
      <c r="T67" s="203">
        <f t="shared" si="4"/>
        <v>0</v>
      </c>
      <c r="U67" s="12">
        <v>0</v>
      </c>
      <c r="V67" s="11" t="str">
        <f t="shared" si="5"/>
        <v/>
      </c>
      <c r="W67" s="165">
        <f t="shared" si="6"/>
        <v>35</v>
      </c>
      <c r="X67" s="24"/>
    </row>
    <row r="68" spans="2:24" ht="45" customHeight="1" thickBot="1" x14ac:dyDescent="0.35">
      <c r="B68" s="24"/>
      <c r="C68" s="68" t="str">
        <f>IF(OR(I68="",I68="None"),"-",IF(OR(K68="",K68="None"),E68&amp; " "&amp;"SEM-"&amp;F68&amp;" "&amp;"SKS-"&amp;G68&amp;  " "&amp;H68&amp;" "&amp;J68,E68&amp; " "&amp;"SEM-"&amp;F68&amp;" SKS-"&amp;G68&amp;" "&amp;"S"&amp;H68&amp;  " "&amp;H68&amp;" "&amp;J68&amp;"/"&amp;L68))</f>
        <v>Pemrograman  Berorientasi  Objek *  SEM-4 SKS-4 A RDN</v>
      </c>
      <c r="D68" s="14" t="str">
        <f>IF(J$67&gt;='TABLE SISTEM'!A$3,'TABLE MK'!I$12,"")</f>
        <v>INF-55201-211</v>
      </c>
      <c r="E68" s="14" t="str">
        <f>IF(D68="","",(VLOOKUP(D68,Table6[[#All],[Kode MK]:[Mata Kuliah Prasayarat]],2,)))</f>
        <v>Pemrograman  Berorientasi  Objek * </v>
      </c>
      <c r="F68" s="15">
        <f>IF(D68="","",(VLOOKUP(D68,Table6[[#All],[Kode MK]:[Mata Kuliah Prasayarat]],3,)))</f>
        <v>4</v>
      </c>
      <c r="G68" s="15">
        <f>IF(D68="","",(VLOOKUP(D68,Table6[[#All],[Kode MK]:[Mata Kuliah Prasayarat]],4,)))</f>
        <v>4</v>
      </c>
      <c r="H68" s="15" t="str">
        <f>IF(D68="","","A")</f>
        <v>A</v>
      </c>
      <c r="I68" s="21" t="s">
        <v>141</v>
      </c>
      <c r="J68" s="17" t="str">
        <f>IF(I68="","",(VLOOKUP(I68,tbDosen[NAMA DOSEN]:tbDosen[[NAMA DOSEN]:[KODE]],2,)))</f>
        <v>RDN</v>
      </c>
      <c r="K68" s="44" t="s">
        <v>105</v>
      </c>
      <c r="L68" s="17" t="str">
        <f>IF(K68="","",(VLOOKUP(K68,tbDosen[NAMA DOSEN]:tbDosen[[NAMA DOSEN]:[KODE]],2,)))</f>
        <v>-</v>
      </c>
      <c r="M68" s="16" t="str">
        <f>IF(OR(I68="",I68="None"),"",IF(OR(K68="",K68="None"),I68,I68&amp;" / "&amp;K68))</f>
        <v>Rudy Dwi Nyoto, S.T., M.Eng</v>
      </c>
      <c r="N68" s="16" t="str">
        <f t="shared" si="0"/>
        <v>RDN</v>
      </c>
      <c r="O68" s="18">
        <f>IF(OR(I68="",I68="None"),"",IF(OR(K68="",K68="None"),G68,G68/2))</f>
        <v>4</v>
      </c>
      <c r="P68" s="60" t="str">
        <f t="shared" si="7"/>
        <v>TIDAK</v>
      </c>
      <c r="Q68" s="203" t="str">
        <f t="shared" si="1"/>
        <v>Rudy Dwi Nyoto, S.T., M.Eng</v>
      </c>
      <c r="R68" s="203" t="str">
        <f t="shared" si="2"/>
        <v>None</v>
      </c>
      <c r="S68" s="203" t="str">
        <f t="shared" si="3"/>
        <v/>
      </c>
      <c r="T68" s="203" t="str">
        <f t="shared" si="4"/>
        <v/>
      </c>
      <c r="U68" s="12">
        <v>2</v>
      </c>
      <c r="V68" s="11" t="str">
        <f t="shared" si="5"/>
        <v/>
      </c>
      <c r="W68" s="165">
        <f t="shared" si="6"/>
        <v>35</v>
      </c>
      <c r="X68" s="24"/>
    </row>
    <row r="69" spans="2:24" ht="45" customHeight="1" thickBot="1" x14ac:dyDescent="0.35">
      <c r="B69" s="24"/>
      <c r="C69" s="68" t="str">
        <f>IF(OR(I69="",I69="None"),"-",IF(OR(K69="",K69="None"),E69&amp; " "&amp;"SEM-"&amp;F69&amp;" "&amp;"SKS-"&amp;G69&amp;  " "&amp;H69&amp;" "&amp;J69,E69&amp; " "&amp;"SEM-"&amp;F69&amp;" SKS-"&amp;G69&amp;" "&amp;"S"&amp;H69&amp;  " "&amp;H69&amp;" "&amp;J69&amp;"/"&amp;L69))</f>
        <v>Pemrograman  Berorientasi  Objek *  SEM-4 SKS-4 B RDN</v>
      </c>
      <c r="D69" s="14" t="str">
        <f>IF(J$67&gt;='TABLE SISTEM'!A$4,'TABLE MK'!I$12,"")</f>
        <v>INF-55201-211</v>
      </c>
      <c r="E69" s="14" t="str">
        <f>IF(D69="","",(VLOOKUP(D69,Table6[[#All],[Kode MK]:[Mata Kuliah Prasayarat]],2,)))</f>
        <v>Pemrograman  Berorientasi  Objek * </v>
      </c>
      <c r="F69" s="15">
        <f>IF(D69="","",(VLOOKUP(D69,Table6[[#All],[Kode MK]:[Mata Kuliah Prasayarat]],3,)))</f>
        <v>4</v>
      </c>
      <c r="G69" s="15">
        <f>IF(D69="","",(VLOOKUP(D69,Table6[[#All],[Kode MK]:[Mata Kuliah Prasayarat]],4,)))</f>
        <v>4</v>
      </c>
      <c r="H69" s="15" t="str">
        <f>IF(D69="","","B")</f>
        <v>B</v>
      </c>
      <c r="I69" s="21" t="s">
        <v>141</v>
      </c>
      <c r="J69" s="17" t="str">
        <f>IF(I69="","",(VLOOKUP(I69,tbDosen[NAMA DOSEN]:tbDosen[[NAMA DOSEN]:[KODE]],2,)))</f>
        <v>RDN</v>
      </c>
      <c r="K69" s="44" t="s">
        <v>105</v>
      </c>
      <c r="L69" s="17" t="str">
        <f>IF(K69="","",(VLOOKUP(K69,tbDosen[NAMA DOSEN]:tbDosen[[NAMA DOSEN]:[KODE]],2,)))</f>
        <v>-</v>
      </c>
      <c r="M69" s="16" t="str">
        <f>IF(OR(I69="",I69="None"),"",IF(OR(K69="",K69="None"),I69,I69&amp;" / "&amp;K69))</f>
        <v>Rudy Dwi Nyoto, S.T., M.Eng</v>
      </c>
      <c r="N69" s="16" t="str">
        <f t="shared" si="0"/>
        <v>RDN</v>
      </c>
      <c r="O69" s="18">
        <f>IF(OR(I69="",I69="None"),"",IF(OR(K69="",K69="None"),G69,G69/2))</f>
        <v>4</v>
      </c>
      <c r="P69" s="61" t="str">
        <f t="shared" si="7"/>
        <v>TIDAK</v>
      </c>
      <c r="Q69" s="203" t="str">
        <f t="shared" si="1"/>
        <v>Rudy Dwi Nyoto, S.T., M.Eng</v>
      </c>
      <c r="R69" s="203" t="str">
        <f t="shared" si="2"/>
        <v>None</v>
      </c>
      <c r="S69" s="203" t="str">
        <f t="shared" si="3"/>
        <v/>
      </c>
      <c r="T69" s="203" t="str">
        <f t="shared" si="4"/>
        <v/>
      </c>
      <c r="U69" s="12">
        <v>2</v>
      </c>
      <c r="V69" s="11" t="str">
        <f t="shared" si="5"/>
        <v/>
      </c>
      <c r="W69" s="165">
        <f t="shared" si="6"/>
        <v>35</v>
      </c>
      <c r="X69" s="24"/>
    </row>
    <row r="70" spans="2:24" ht="45" customHeight="1" thickBot="1" x14ac:dyDescent="0.35">
      <c r="B70" s="24"/>
      <c r="C70" s="68" t="str">
        <f>IF(OR(I70="",I70="None"),"-",IF(OR(K70="",K70="None"),E70&amp; " "&amp;"SEM-"&amp;F70&amp;" "&amp;"SKS-"&amp;G70&amp;  " "&amp;H70&amp;" "&amp;J70,E70&amp; " "&amp;"SEM-"&amp;F70&amp;" SKS-"&amp;G70&amp;" "&amp;"S"&amp;H70&amp;  " "&amp;H70&amp;" "&amp;J70&amp;"/"&amp;L70))</f>
        <v>Pemrograman  Berorientasi  Objek *  SEM-4 SKS-4 SC C NS/KH</v>
      </c>
      <c r="D70" s="14" t="str">
        <f>IF(J$67&gt;='TABLE SISTEM'!A$5,'TABLE MK'!I$12,"")</f>
        <v>INF-55201-211</v>
      </c>
      <c r="E70" s="14" t="str">
        <f>IF(D70="","",(VLOOKUP(D70,Table6[[#All],[Kode MK]:[Mata Kuliah Prasayarat]],2,)))</f>
        <v>Pemrograman  Berorientasi  Objek * </v>
      </c>
      <c r="F70" s="15">
        <f>IF(D70="","",(VLOOKUP(D70,Table6[[#All],[Kode MK]:[Mata Kuliah Prasayarat]],3,)))</f>
        <v>4</v>
      </c>
      <c r="G70" s="15">
        <f>IF(D70="","",(VLOOKUP(D70,Table6[[#All],[Kode MK]:[Mata Kuliah Prasayarat]],4,)))</f>
        <v>4</v>
      </c>
      <c r="H70" s="15" t="str">
        <f>IF(D70="","","C")</f>
        <v>C</v>
      </c>
      <c r="I70" s="21" t="s">
        <v>139</v>
      </c>
      <c r="J70" s="17" t="str">
        <f>IF(I70="","",(VLOOKUP(I70,tbDosen[NAMA DOSEN]:tbDosen[[NAMA DOSEN]:[KODE]],2,)))</f>
        <v>NS</v>
      </c>
      <c r="K70" s="39" t="s">
        <v>337</v>
      </c>
      <c r="L70" s="17" t="str">
        <f>IF(K70="","",(VLOOKUP(K70,tbDosen[NAMA DOSEN]:tbDosen[[NAMA DOSEN]:[KODE]],2,)))</f>
        <v>KH</v>
      </c>
      <c r="M70" s="16" t="str">
        <f>IF(OR(I70="",I70="None"),"",IF(OR(K70="",K70="None"),I70,I70&amp;" / "&amp;K70))</f>
        <v>Novi Safriadi, S.T., M.T. / Khairul Hafidh, S.T., M.Kom.</v>
      </c>
      <c r="N70" s="16" t="str">
        <f t="shared" si="0"/>
        <v>NS / KH</v>
      </c>
      <c r="O70" s="18">
        <f>IF(OR(I70="",I70="None"),"",IF(OR(K70="",K70="None"),G70,G70/2))</f>
        <v>2</v>
      </c>
      <c r="P70" s="61" t="str">
        <f t="shared" si="7"/>
        <v>TIDAK</v>
      </c>
      <c r="Q70" s="203" t="str">
        <f t="shared" si="1"/>
        <v>Novi Safriadi, S.T., M.T.</v>
      </c>
      <c r="R70" s="203" t="str">
        <f t="shared" si="2"/>
        <v>Khairul Hafidh, S.T., M.Kom.</v>
      </c>
      <c r="S70" s="203" t="str">
        <f t="shared" si="3"/>
        <v>Novi Safriadi, S.T., M.T.</v>
      </c>
      <c r="T70" s="203" t="str">
        <f t="shared" si="4"/>
        <v>Khairul Hafidh, S.T., M.Kom.</v>
      </c>
      <c r="U70" s="12">
        <v>2</v>
      </c>
      <c r="V70" s="11" t="str">
        <f t="shared" si="5"/>
        <v/>
      </c>
      <c r="W70" s="165">
        <f t="shared" si="6"/>
        <v>35</v>
      </c>
      <c r="X70" s="24"/>
    </row>
    <row r="71" spans="2:24" ht="45" customHeight="1" thickBot="1" x14ac:dyDescent="0.35">
      <c r="B71" s="24"/>
      <c r="C71" s="68" t="str">
        <f>IF(OR(I71="",I71="None"),"-",IF(OR(K71="",K71="None"),E71&amp; " "&amp;"SEM-"&amp;F71&amp;" "&amp;"SKS-"&amp;G71&amp;  " "&amp;H71&amp;" "&amp;J71,E71&amp; " "&amp;"SEM-"&amp;F71&amp;" SKS-"&amp;G71&amp;" "&amp;"S"&amp;H71&amp;  " "&amp;H71&amp;" "&amp;J71&amp;"/"&amp;L71))</f>
        <v>-</v>
      </c>
      <c r="D71" s="14" t="str">
        <f>IF(J$67&gt;='TABLE SISTEM'!A$6,'TABLE MK'!I$12,"")</f>
        <v/>
      </c>
      <c r="E71" s="14" t="str">
        <f>IF(D71="","",(VLOOKUP(D71,Table6[[#All],[Kode MK]:[Mata Kuliah Prasayarat]],2,)))</f>
        <v/>
      </c>
      <c r="F71" s="15" t="str">
        <f>IF(D71="","",(VLOOKUP(D71,Table6[[#All],[Kode MK]:[Mata Kuliah Prasayarat]],3,)))</f>
        <v/>
      </c>
      <c r="G71" s="15" t="str">
        <f>IF(D71="","",(VLOOKUP(D71,Table6[[#All],[Kode MK]:[Mata Kuliah Prasayarat]],4,)))</f>
        <v/>
      </c>
      <c r="H71" s="15" t="str">
        <f>IF(D71="","","D")</f>
        <v/>
      </c>
      <c r="I71" s="44" t="s">
        <v>105</v>
      </c>
      <c r="J71" s="17" t="str">
        <f>IF(I71="","",(VLOOKUP(I71,tbDosen[NAMA DOSEN]:tbDosen[[NAMA DOSEN]:[KODE]],2,)))</f>
        <v>-</v>
      </c>
      <c r="K71" s="44" t="s">
        <v>105</v>
      </c>
      <c r="L71" s="17" t="str">
        <f>IF(K71="","",(VLOOKUP(K71,tbDosen[NAMA DOSEN]:tbDosen[[NAMA DOSEN]:[KODE]],2,)))</f>
        <v>-</v>
      </c>
      <c r="M71" s="16" t="str">
        <f>IF(OR(I71="",I71="None"),"",IF(OR(K71="",K71="None"),I71,I71&amp;" / "&amp;K71))</f>
        <v/>
      </c>
      <c r="N71" s="16" t="str">
        <f t="shared" si="0"/>
        <v/>
      </c>
      <c r="O71" s="18" t="str">
        <f>IF(OR(I71="",I71="None"),"",IF(OR(K71="",K71="None"),G71,G71/2))</f>
        <v/>
      </c>
      <c r="P71" s="61" t="str">
        <f t="shared" si="7"/>
        <v/>
      </c>
      <c r="Q71" s="203" t="str">
        <f t="shared" si="1"/>
        <v/>
      </c>
      <c r="R71" s="203" t="str">
        <f t="shared" si="2"/>
        <v/>
      </c>
      <c r="S71" s="203" t="str">
        <f t="shared" si="3"/>
        <v/>
      </c>
      <c r="T71" s="203" t="str">
        <f t="shared" si="4"/>
        <v/>
      </c>
      <c r="U71" s="12">
        <v>0</v>
      </c>
      <c r="V71" s="11" t="str">
        <f t="shared" si="5"/>
        <v/>
      </c>
      <c r="W71" s="165">
        <f t="shared" si="6"/>
        <v>35</v>
      </c>
      <c r="X71" s="24"/>
    </row>
    <row r="72" spans="2:24" ht="45" customHeight="1" x14ac:dyDescent="0.3">
      <c r="B72" s="24"/>
      <c r="C72" s="68" t="str">
        <f>IF(OR(I72="",I72="None"),"-",IF(OR(K72="",K72="None"),E72&amp; " "&amp;"SEM-"&amp;F72&amp;" "&amp;"SKS-"&amp;G72&amp;  " "&amp;H72&amp;" "&amp;J72,E72&amp; " "&amp;"SEM-"&amp;F72&amp;" SKS-"&amp;G72&amp;" "&amp;"S"&amp;H72&amp;  " "&amp;H72&amp;" "&amp;J72&amp;"/"&amp;L72))</f>
        <v>-</v>
      </c>
      <c r="D72" s="14" t="str">
        <f>IF(J$67&gt;='TABLE SISTEM'!A$7,'TABLE MK'!I$12,"")</f>
        <v/>
      </c>
      <c r="E72" s="14" t="str">
        <f>IF(D72="","",(VLOOKUP(D72,Table6[[#All],[Kode MK]:[Mata Kuliah Prasayarat]],2,)))</f>
        <v/>
      </c>
      <c r="F72" s="15" t="str">
        <f>IF(D72="","",(VLOOKUP(D72,Table6[[#All],[Kode MK]:[Mata Kuliah Prasayarat]],3,)))</f>
        <v/>
      </c>
      <c r="G72" s="15" t="str">
        <f>IF(D72="","",(VLOOKUP(D72,Table6[[#All],[Kode MK]:[Mata Kuliah Prasayarat]],4,)))</f>
        <v/>
      </c>
      <c r="H72" s="15" t="str">
        <f>IF(D72="","","E")</f>
        <v/>
      </c>
      <c r="I72" s="44" t="s">
        <v>105</v>
      </c>
      <c r="J72" s="17" t="str">
        <f>IF(I72="","",(VLOOKUP(I72,tbDosen[NAMA DOSEN]:tbDosen[[NAMA DOSEN]:[KODE]],2,)))</f>
        <v>-</v>
      </c>
      <c r="K72" s="44" t="s">
        <v>105</v>
      </c>
      <c r="L72" s="17" t="str">
        <f>IF(K72="","",(VLOOKUP(K72,tbDosen[NAMA DOSEN]:tbDosen[[NAMA DOSEN]:[KODE]],2,)))</f>
        <v>-</v>
      </c>
      <c r="M72" s="16" t="str">
        <f>IF(OR(I72="",I72="None"),"",IF(OR(K72="",K72="None"),I72,I72&amp;" / "&amp;K72))</f>
        <v/>
      </c>
      <c r="N72" s="16" t="str">
        <f t="shared" si="0"/>
        <v/>
      </c>
      <c r="O72" s="18" t="str">
        <f>IF(OR(I72="",I72="None"),"",IF(OR(K72="",K72="None"),G72,G72/2))</f>
        <v/>
      </c>
      <c r="P72" s="62" t="str">
        <f t="shared" si="7"/>
        <v/>
      </c>
      <c r="Q72" s="203" t="str">
        <f t="shared" si="1"/>
        <v/>
      </c>
      <c r="R72" s="203" t="str">
        <f t="shared" si="2"/>
        <v/>
      </c>
      <c r="S72" s="203" t="str">
        <f t="shared" si="3"/>
        <v/>
      </c>
      <c r="T72" s="203" t="str">
        <f t="shared" si="4"/>
        <v/>
      </c>
      <c r="U72" s="12">
        <v>0</v>
      </c>
      <c r="V72" s="11" t="str">
        <f t="shared" si="5"/>
        <v/>
      </c>
      <c r="W72" s="165">
        <f t="shared" si="6"/>
        <v>35</v>
      </c>
      <c r="X72" s="24"/>
    </row>
    <row r="73" spans="2:24" ht="45" customHeight="1" thickBot="1" x14ac:dyDescent="0.35">
      <c r="B73" s="24"/>
      <c r="C73" s="67"/>
      <c r="D73" s="41" t="s">
        <v>157</v>
      </c>
      <c r="E73" s="256" t="str">
        <f>'TABLE MK'!J13</f>
        <v>Analisis  dan  Perancangan  Sistem  </v>
      </c>
      <c r="F73" s="256"/>
      <c r="G73" s="256"/>
      <c r="H73" s="256"/>
      <c r="I73" s="41" t="s">
        <v>95</v>
      </c>
      <c r="J73" s="40">
        <v>4</v>
      </c>
      <c r="K73" s="42"/>
      <c r="L73" s="43"/>
      <c r="M73" s="43" t="s">
        <v>161</v>
      </c>
      <c r="N73" s="45"/>
      <c r="O73" s="42"/>
      <c r="P73" s="63"/>
      <c r="Q73" s="203" t="str">
        <f t="shared" ref="Q73:Q136" si="8">IF(G73=4,I73,"")</f>
        <v/>
      </c>
      <c r="R73" s="203" t="str">
        <f t="shared" ref="R73:R136" si="9">IF(G73=4,K73,"")</f>
        <v/>
      </c>
      <c r="S73" s="203" t="str">
        <f t="shared" ref="S73:S136" si="10">IF(AND(I73&lt;&gt;"None",K73&lt;&gt;"None"),I73,"")</f>
        <v>Jumlah Kelas</v>
      </c>
      <c r="T73" s="203">
        <f t="shared" ref="T73:T136" si="11">IF(AND(I73&lt;&gt;"None",K73&lt;&gt;"None"),K73,"")</f>
        <v>0</v>
      </c>
      <c r="U73" s="12">
        <v>0</v>
      </c>
      <c r="V73" s="11" t="str">
        <f t="shared" ref="V73:V136" si="12">IF(P73="ADA",C73,"")</f>
        <v/>
      </c>
      <c r="W73" s="165">
        <f t="shared" ref="W73:W136" si="13">IF(U73=1,28,35)</f>
        <v>35</v>
      </c>
      <c r="X73" s="24"/>
    </row>
    <row r="74" spans="2:24" ht="45" customHeight="1" thickBot="1" x14ac:dyDescent="0.35">
      <c r="B74" s="24"/>
      <c r="C74" s="68" t="str">
        <f>IF(OR(I74="",I74="None"),"-",IF(OR(K74="",K74="None"),E74&amp; " "&amp;"SEM-"&amp;F74&amp;" "&amp;"SKS-"&amp;G74&amp;  " "&amp;H74&amp;" "&amp;J74,E74&amp; " "&amp;"SEM-"&amp;F74&amp;" SKS-"&amp;G74&amp;" "&amp;"S"&amp;H74&amp;  " "&amp;H74&amp;" "&amp;J74&amp;"/"&amp;L74))</f>
        <v>Analisis  dan  Perancangan  Sistem   SEM-4 SKS-3 SA A EFR/NC</v>
      </c>
      <c r="D74" s="14" t="str">
        <f>IF(J$73&gt;='TABLE SISTEM'!A$3,'TABLE MK'!I$13,"")</f>
        <v>INF-55201-212</v>
      </c>
      <c r="E74" s="192" t="str">
        <f>IF(D74="","",(VLOOKUP(D74,Table6[[#All],[Kode MK]:[Mata Kuliah Prasayarat]],2,)))</f>
        <v>Analisis  dan  Perancangan  Sistem  </v>
      </c>
      <c r="F74" s="193">
        <f>IF(D74="","",(VLOOKUP(D74,Table6[[#All],[Kode MK]:[Mata Kuliah Prasayarat]],3,)))</f>
        <v>4</v>
      </c>
      <c r="G74" s="193">
        <f>IF(D74="","",(VLOOKUP(D74,Table6[[#All],[Kode MK]:[Mata Kuliah Prasayarat]],4,)))</f>
        <v>3</v>
      </c>
      <c r="H74" s="15" t="str">
        <f>IF(D74="","","A")</f>
        <v>A</v>
      </c>
      <c r="I74" s="21" t="s">
        <v>121</v>
      </c>
      <c r="J74" s="17" t="str">
        <f>IF(I74="","",(VLOOKUP(I74,tbDosen[NAMA DOSEN]:tbDosen[[NAMA DOSEN]:[KODE]],2,)))</f>
        <v>EFR</v>
      </c>
      <c r="K74" s="21" t="s">
        <v>338</v>
      </c>
      <c r="L74" s="17" t="str">
        <f>IF(K74="","",(VLOOKUP(K74,tbDosen[NAMA DOSEN]:tbDosen[[NAMA DOSEN]:[KODE]],2,)))</f>
        <v>NC</v>
      </c>
      <c r="M74" s="16" t="str">
        <f>IF(OR(I74="",I74="None"),"",IF(OR(K74="",K74="None"),I74,I74&amp;" / "&amp;K74))</f>
        <v>Eva Faja Ripanti, S.Kom, MMSI, Ph.D / Niken Candraningrum, S.T., M.Cs.</v>
      </c>
      <c r="N74" s="16" t="str">
        <f t="shared" ref="N74:N137" si="14">IF(AND(J74&lt;&gt;"-",L74&lt;&gt;"-"),J74&amp;" / "&amp;L74,IF(AND(J74&lt;&gt;"-",L74="-"),J74,""))</f>
        <v>EFR / NC</v>
      </c>
      <c r="O74" s="18">
        <f>IF(OR(I74="",I74="None"),"",IF(OR(K74="",K74="None"),G74,G74/2))</f>
        <v>1.5</v>
      </c>
      <c r="P74" s="60" t="str">
        <f t="shared" si="7"/>
        <v>TIDAK</v>
      </c>
      <c r="Q74" s="203" t="str">
        <f t="shared" si="8"/>
        <v/>
      </c>
      <c r="R74" s="203" t="str">
        <f t="shared" si="9"/>
        <v/>
      </c>
      <c r="S74" s="203" t="str">
        <f t="shared" si="10"/>
        <v>Eva Faja Ripanti, S.Kom, MMSI, Ph.D</v>
      </c>
      <c r="T74" s="203" t="str">
        <f t="shared" si="11"/>
        <v>Niken Candraningrum, S.T., M.Cs.</v>
      </c>
      <c r="U74" s="12">
        <v>1</v>
      </c>
      <c r="V74" s="11" t="str">
        <f t="shared" si="12"/>
        <v/>
      </c>
      <c r="W74" s="165">
        <f t="shared" si="13"/>
        <v>28</v>
      </c>
      <c r="X74" s="24"/>
    </row>
    <row r="75" spans="2:24" ht="45" customHeight="1" thickBot="1" x14ac:dyDescent="0.35">
      <c r="B75" s="24"/>
      <c r="C75" s="68" t="str">
        <f>IF(OR(I75="",I75="None"),"-",IF(OR(K75="",K75="None"),E75&amp; " "&amp;"SEM-"&amp;F75&amp;" "&amp;"SKS-"&amp;G75&amp;  " "&amp;H75&amp;" "&amp;J75,E75&amp; " "&amp;"SEM-"&amp;F75&amp;" SKS-"&amp;G75&amp;" "&amp;"S"&amp;H75&amp;  " "&amp;H75&amp;" "&amp;J75&amp;"/"&amp;L75))</f>
        <v>Analisis  dan  Perancangan  Sistem   SEM-4 SKS-3 SB B AS/FA</v>
      </c>
      <c r="D75" s="14" t="str">
        <f>IF(J$73&gt;='TABLE SISTEM'!A$4,'TABLE MK'!I$13,"")</f>
        <v>INF-55201-212</v>
      </c>
      <c r="E75" s="192" t="str">
        <f>IF(D75="","",(VLOOKUP(D74,Table6[[#All],[Kode MK]:[Mata Kuliah Prasayarat]],2,)))</f>
        <v>Analisis  dan  Perancangan  Sistem  </v>
      </c>
      <c r="F75" s="193">
        <f>IF(D75="","",(VLOOKUP(D75,Table6[[#All],[Kode MK]:[Mata Kuliah Prasayarat]],3,)))</f>
        <v>4</v>
      </c>
      <c r="G75" s="193">
        <f>IF(D75="","",(VLOOKUP(D75,Table6[[#All],[Kode MK]:[Mata Kuliah Prasayarat]],4,)))</f>
        <v>3</v>
      </c>
      <c r="H75" s="15" t="str">
        <f>IF(D75="","","B")</f>
        <v>B</v>
      </c>
      <c r="I75" s="21" t="s">
        <v>109</v>
      </c>
      <c r="J75" s="17" t="str">
        <f>IF(I75="","",(VLOOKUP(I75,tbDosen[NAMA DOSEN]:tbDosen[[NAMA DOSEN]:[KODE]],2,)))</f>
        <v>AS</v>
      </c>
      <c r="K75" s="21" t="s">
        <v>336</v>
      </c>
      <c r="L75" s="17" t="str">
        <f>IF(K75="","",(VLOOKUP(K75,tbDosen[NAMA DOSEN]:tbDosen[[NAMA DOSEN]:[KODE]],2,)))</f>
        <v>FA</v>
      </c>
      <c r="M75" s="16" t="str">
        <f>IF(OR(I75="",I75="None"),"",IF(OR(K75="",K75="None"),I75,I75&amp;" / "&amp;K75))</f>
        <v>Anggi Srimurdianti, S.T., M.T. / Fauzan Asrin, S.Kom, M. Kom.</v>
      </c>
      <c r="N75" s="16" t="str">
        <f t="shared" si="14"/>
        <v>AS / FA</v>
      </c>
      <c r="O75" s="18">
        <f>IF(OR(I75="",I75="None"),"",IF(OR(K75="",K75="None"),G75,G75/2))</f>
        <v>1.5</v>
      </c>
      <c r="P75" s="61" t="str">
        <f t="shared" si="7"/>
        <v>TIDAK</v>
      </c>
      <c r="Q75" s="203" t="str">
        <f t="shared" si="8"/>
        <v/>
      </c>
      <c r="R75" s="203" t="str">
        <f t="shared" si="9"/>
        <v/>
      </c>
      <c r="S75" s="203" t="str">
        <f t="shared" si="10"/>
        <v>Anggi Srimurdianti, S.T., M.T.</v>
      </c>
      <c r="T75" s="203" t="str">
        <f t="shared" si="11"/>
        <v>Fauzan Asrin, S.Kom, M. Kom.</v>
      </c>
      <c r="U75" s="12">
        <v>1</v>
      </c>
      <c r="V75" s="11" t="str">
        <f t="shared" si="12"/>
        <v/>
      </c>
      <c r="W75" s="165">
        <f t="shared" si="13"/>
        <v>28</v>
      </c>
      <c r="X75" s="24"/>
    </row>
    <row r="76" spans="2:24" ht="45" customHeight="1" thickBot="1" x14ac:dyDescent="0.35">
      <c r="B76" s="24"/>
      <c r="C76" s="68" t="str">
        <f>IF(OR(I76="",I76="None"),"-",IF(OR(K76="",K76="None"),E76&amp; " "&amp;"SEM-"&amp;F76&amp;" "&amp;"SKS-"&amp;G76&amp;  " "&amp;H76&amp;" "&amp;J76,E76&amp; " "&amp;"SEM-"&amp;F76&amp;" SKS-"&amp;G76&amp;" "&amp;"S"&amp;H76&amp;  " "&amp;H76&amp;" "&amp;J76&amp;"/"&amp;L76))</f>
        <v>Analisis  dan  Perancangan  Sistem   SEM-4 SKS-3 SC C EFR/NC</v>
      </c>
      <c r="D76" s="14" t="str">
        <f>IF(J$73&gt;='TABLE SISTEM'!A$5,'TABLE MK'!I$13,"")</f>
        <v>INF-55201-212</v>
      </c>
      <c r="E76" s="192" t="str">
        <f>IF(D76="","",(VLOOKUP(D74,Table6[[#All],[Kode MK]:[Mata Kuliah Prasayarat]],2,)))</f>
        <v>Analisis  dan  Perancangan  Sistem  </v>
      </c>
      <c r="F76" s="193">
        <f>IF(D76="","",(VLOOKUP(D76,Table6[[#All],[Kode MK]:[Mata Kuliah Prasayarat]],3,)))</f>
        <v>4</v>
      </c>
      <c r="G76" s="193">
        <f>IF(D76="","",(VLOOKUP(D76,Table6[[#All],[Kode MK]:[Mata Kuliah Prasayarat]],4,)))</f>
        <v>3</v>
      </c>
      <c r="H76" s="15" t="str">
        <f>IF(D76="","","C")</f>
        <v>C</v>
      </c>
      <c r="I76" s="21" t="s">
        <v>121</v>
      </c>
      <c r="J76" s="17" t="str">
        <f>IF(I76="","",(VLOOKUP(I76,tbDosen[NAMA DOSEN]:tbDosen[[NAMA DOSEN]:[KODE]],2,)))</f>
        <v>EFR</v>
      </c>
      <c r="K76" s="21" t="s">
        <v>338</v>
      </c>
      <c r="L76" s="17" t="str">
        <f>IF(K76="","",(VLOOKUP(K76,tbDosen[NAMA DOSEN]:tbDosen[[NAMA DOSEN]:[KODE]],2,)))</f>
        <v>NC</v>
      </c>
      <c r="M76" s="16" t="str">
        <f>IF(OR(I76="",I76="None"),"",IF(OR(K76="",K76="None"),I76,I76&amp;" / "&amp;K76))</f>
        <v>Eva Faja Ripanti, S.Kom, MMSI, Ph.D / Niken Candraningrum, S.T., M.Cs.</v>
      </c>
      <c r="N76" s="16" t="str">
        <f t="shared" si="14"/>
        <v>EFR / NC</v>
      </c>
      <c r="O76" s="18">
        <f>IF(OR(I76="",I76="None"),"",IF(OR(K76="",K76="None"),G76,G76/2))</f>
        <v>1.5</v>
      </c>
      <c r="P76" s="61" t="str">
        <f t="shared" si="7"/>
        <v>TIDAK</v>
      </c>
      <c r="Q76" s="203" t="str">
        <f t="shared" si="8"/>
        <v/>
      </c>
      <c r="R76" s="203" t="str">
        <f t="shared" si="9"/>
        <v/>
      </c>
      <c r="S76" s="203" t="str">
        <f t="shared" si="10"/>
        <v>Eva Faja Ripanti, S.Kom, MMSI, Ph.D</v>
      </c>
      <c r="T76" s="203" t="str">
        <f t="shared" si="11"/>
        <v>Niken Candraningrum, S.T., M.Cs.</v>
      </c>
      <c r="U76" s="12">
        <v>1</v>
      </c>
      <c r="V76" s="11" t="str">
        <f t="shared" si="12"/>
        <v/>
      </c>
      <c r="W76" s="165">
        <f t="shared" si="13"/>
        <v>28</v>
      </c>
      <c r="X76" s="24"/>
    </row>
    <row r="77" spans="2:24" ht="45" customHeight="1" thickBot="1" x14ac:dyDescent="0.35">
      <c r="B77" s="24"/>
      <c r="C77" s="68" t="str">
        <f>IF(OR(I77="",I77="None"),"-",IF(OR(K77="",K77="None"),E77&amp; " "&amp;"SEM-"&amp;F77&amp;" "&amp;"SKS-"&amp;G77&amp;  " "&amp;H77&amp;" "&amp;J77,E77&amp; " "&amp;"SEM-"&amp;F77&amp;" SKS-"&amp;G77&amp;" "&amp;"S"&amp;H77&amp;  " "&amp;H77&amp;" "&amp;J77&amp;"/"&amp;L77))</f>
        <v>Analisis  dan  Perancangan  Sistem   SEM-4 SKS-3 SD D AS/FA</v>
      </c>
      <c r="D77" s="14" t="str">
        <f>IF(J$73&gt;='TABLE SISTEM'!A$6,'TABLE MK'!I$13,"")</f>
        <v>INF-55201-212</v>
      </c>
      <c r="E77" s="192" t="str">
        <f>IF(D77="","",(VLOOKUP(D74,Table6[[#All],[Kode MK]:[Mata Kuliah Prasayarat]],2,)))</f>
        <v>Analisis  dan  Perancangan  Sistem  </v>
      </c>
      <c r="F77" s="193">
        <f>IF(D77="","",(VLOOKUP(D77,Table6[[#All],[Kode MK]:[Mata Kuliah Prasayarat]],3,)))</f>
        <v>4</v>
      </c>
      <c r="G77" s="193">
        <f>IF(D77="","",(VLOOKUP(D77,Table6[[#All],[Kode MK]:[Mata Kuliah Prasayarat]],4,)))</f>
        <v>3</v>
      </c>
      <c r="H77" s="15" t="str">
        <f>IF(D77="","","D")</f>
        <v>D</v>
      </c>
      <c r="I77" s="21" t="s">
        <v>109</v>
      </c>
      <c r="J77" s="17" t="str">
        <f>IF(I77="","",(VLOOKUP(I77,tbDosen[NAMA DOSEN]:tbDosen[[NAMA DOSEN]:[KODE]],2,)))</f>
        <v>AS</v>
      </c>
      <c r="K77" s="21" t="s">
        <v>336</v>
      </c>
      <c r="L77" s="17" t="str">
        <f>IF(K77="","",(VLOOKUP(K77,tbDosen[NAMA DOSEN]:tbDosen[[NAMA DOSEN]:[KODE]],2,)))</f>
        <v>FA</v>
      </c>
      <c r="M77" s="16" t="str">
        <f>IF(OR(I77="",I77="None"),"",IF(OR(K77="",K77="None"),I77,I77&amp;" / "&amp;K77))</f>
        <v>Anggi Srimurdianti, S.T., M.T. / Fauzan Asrin, S.Kom, M. Kom.</v>
      </c>
      <c r="N77" s="16" t="str">
        <f t="shared" si="14"/>
        <v>AS / FA</v>
      </c>
      <c r="O77" s="18">
        <f>IF(OR(I77="",I77="None"),"",IF(OR(K77="",K77="None"),G77,G77/2))</f>
        <v>1.5</v>
      </c>
      <c r="P77" s="61" t="str">
        <f t="shared" si="7"/>
        <v>TIDAK</v>
      </c>
      <c r="Q77" s="203" t="str">
        <f t="shared" si="8"/>
        <v/>
      </c>
      <c r="R77" s="203" t="str">
        <f t="shared" si="9"/>
        <v/>
      </c>
      <c r="S77" s="203" t="str">
        <f t="shared" si="10"/>
        <v>Anggi Srimurdianti, S.T., M.T.</v>
      </c>
      <c r="T77" s="203" t="str">
        <f t="shared" si="11"/>
        <v>Fauzan Asrin, S.Kom, M. Kom.</v>
      </c>
      <c r="U77" s="12">
        <v>1</v>
      </c>
      <c r="V77" s="11" t="str">
        <f t="shared" si="12"/>
        <v/>
      </c>
      <c r="W77" s="165">
        <f t="shared" si="13"/>
        <v>28</v>
      </c>
      <c r="X77" s="24"/>
    </row>
    <row r="78" spans="2:24" ht="45" customHeight="1" x14ac:dyDescent="0.3">
      <c r="B78" s="24"/>
      <c r="C78" s="68" t="str">
        <f>IF(OR(I78="",I78="None"),"-",IF(OR(K78="",K78="None"),E78&amp; " "&amp;"SEM-"&amp;F78&amp;" "&amp;"SKS-"&amp;G78&amp;  " "&amp;H78&amp;" "&amp;J78,E78&amp; " "&amp;"SEM-"&amp;F78&amp;" SKS-"&amp;G78&amp;" "&amp;"S"&amp;H78&amp;  " "&amp;H78&amp;" "&amp;J78&amp;"/"&amp;L78))</f>
        <v>-</v>
      </c>
      <c r="D78" s="14" t="str">
        <f>IF(J$73&gt;='TABLE SISTEM'!A$7,'TABLE MK'!I$13,"")</f>
        <v/>
      </c>
      <c r="E78" s="192" t="str">
        <f>IF(D78="","",(VLOOKUP(D74,Table6[[#All],[Kode MK]:[Mata Kuliah Prasayarat]],2,)))</f>
        <v/>
      </c>
      <c r="F78" s="193" t="str">
        <f>IF(D78="","",(VLOOKUP(D78,Table6[[#All],[Kode MK]:[Mata Kuliah Prasayarat]],3,)))</f>
        <v/>
      </c>
      <c r="G78" s="193" t="str">
        <f>IF(D78="","",(VLOOKUP(D78,Table6[[#All],[Kode MK]:[Mata Kuliah Prasayarat]],4,)))</f>
        <v/>
      </c>
      <c r="H78" s="15" t="str">
        <f>IF(D78="","","E")</f>
        <v/>
      </c>
      <c r="I78" s="44" t="s">
        <v>105</v>
      </c>
      <c r="J78" s="17" t="str">
        <f>IF(I78="","",(VLOOKUP(I78,tbDosen[NAMA DOSEN]:tbDosen[[NAMA DOSEN]:[KODE]],2,)))</f>
        <v>-</v>
      </c>
      <c r="K78" s="44" t="s">
        <v>105</v>
      </c>
      <c r="L78" s="17" t="str">
        <f>IF(K78="","",(VLOOKUP(K78,tbDosen[NAMA DOSEN]:tbDosen[[NAMA DOSEN]:[KODE]],2,)))</f>
        <v>-</v>
      </c>
      <c r="M78" s="16" t="str">
        <f>IF(OR(I78="",I78="None"),"",IF(OR(K78="",K78="None"),I78,I78&amp;" / "&amp;K78))</f>
        <v/>
      </c>
      <c r="N78" s="16" t="str">
        <f t="shared" si="14"/>
        <v/>
      </c>
      <c r="O78" s="18" t="str">
        <f>IF(OR(I78="",I78="None"),"",IF(OR(K78="",K78="None"),G78,G78/2))</f>
        <v/>
      </c>
      <c r="P78" s="62" t="str">
        <f t="shared" si="7"/>
        <v/>
      </c>
      <c r="Q78" s="203" t="str">
        <f t="shared" si="8"/>
        <v/>
      </c>
      <c r="R78" s="203" t="str">
        <f t="shared" si="9"/>
        <v/>
      </c>
      <c r="S78" s="203" t="str">
        <f t="shared" si="10"/>
        <v/>
      </c>
      <c r="T78" s="203" t="str">
        <f t="shared" si="11"/>
        <v/>
      </c>
      <c r="U78" s="12">
        <v>0</v>
      </c>
      <c r="V78" s="11" t="str">
        <f t="shared" si="12"/>
        <v/>
      </c>
      <c r="W78" s="165">
        <f t="shared" si="13"/>
        <v>35</v>
      </c>
      <c r="X78" s="24"/>
    </row>
    <row r="79" spans="2:24" ht="45" customHeight="1" thickBot="1" x14ac:dyDescent="0.35">
      <c r="B79" s="24"/>
      <c r="C79" s="67"/>
      <c r="D79" s="41" t="s">
        <v>157</v>
      </c>
      <c r="E79" s="256" t="str">
        <f>'TABLE MK'!J14</f>
        <v>Sistem Informasi</v>
      </c>
      <c r="F79" s="256"/>
      <c r="G79" s="256"/>
      <c r="H79" s="256"/>
      <c r="I79" s="41" t="s">
        <v>95</v>
      </c>
      <c r="J79" s="40">
        <v>4</v>
      </c>
      <c r="K79" s="42"/>
      <c r="L79" s="43"/>
      <c r="M79" s="43" t="s">
        <v>161</v>
      </c>
      <c r="N79" s="45"/>
      <c r="O79" s="42"/>
      <c r="P79" s="63"/>
      <c r="Q79" s="203" t="str">
        <f t="shared" si="8"/>
        <v/>
      </c>
      <c r="R79" s="203" t="str">
        <f t="shared" si="9"/>
        <v/>
      </c>
      <c r="S79" s="203" t="str">
        <f t="shared" si="10"/>
        <v>Jumlah Kelas</v>
      </c>
      <c r="T79" s="203">
        <f t="shared" si="11"/>
        <v>0</v>
      </c>
      <c r="U79" s="12">
        <v>0</v>
      </c>
      <c r="V79" s="11" t="str">
        <f t="shared" si="12"/>
        <v/>
      </c>
      <c r="W79" s="165">
        <f t="shared" si="13"/>
        <v>35</v>
      </c>
      <c r="X79" s="24"/>
    </row>
    <row r="80" spans="2:24" ht="45" customHeight="1" thickBot="1" x14ac:dyDescent="0.35">
      <c r="B80" s="24"/>
      <c r="C80" s="68" t="str">
        <f>IF(OR(I80="",I80="None"),"-",IF(OR(K80="",K80="None"),E80&amp;" "&amp;"SEM-"&amp;F80&amp;" "&amp;"SKS-"&amp;G80&amp;" "&amp;H80&amp;" "&amp;J80,E80&amp;" "&amp;"SEM-"&amp;F80&amp;" SKS-"&amp;G80&amp;" "&amp;"S"&amp;H80&amp;" "&amp;H80&amp;" "&amp;J80&amp;"/"&amp;L80))</f>
        <v>Sistem Informasi SEM-4 SKS-2 SA A YL/EFR</v>
      </c>
      <c r="D80" s="14" t="str">
        <f>IF(J$79&gt;='TABLE SISTEM'!A$3,'TABLE MK'!I$14,"")</f>
        <v>INF-55201-213</v>
      </c>
      <c r="E80" s="14" t="str">
        <f>IF(D80="","",(VLOOKUP(D80,Table6[[#All],[Kode MK]:[Mata Kuliah Prasayarat]],2,)))</f>
        <v>Sistem Informasi</v>
      </c>
      <c r="F80" s="15">
        <f>IF(D80="","",(VLOOKUP(D80,Table6[[#All],[Kode MK]:[Mata Kuliah Prasayarat]],3,)))</f>
        <v>4</v>
      </c>
      <c r="G80" s="15">
        <f>IF(D80="","",(VLOOKUP(D80,Table6[[#All],[Kode MK]:[Mata Kuliah Prasayarat]],4,)))</f>
        <v>2</v>
      </c>
      <c r="H80" s="15" t="str">
        <f>IF(D80="","","A")</f>
        <v>A</v>
      </c>
      <c r="I80" s="21" t="s">
        <v>145</v>
      </c>
      <c r="J80" s="17" t="str">
        <f>IF(I80="","",(VLOOKUP(I80,tbDosen[NAMA DOSEN]:tbDosen[[NAMA DOSEN]:[KODE]],2,)))</f>
        <v>YL</v>
      </c>
      <c r="K80" s="21" t="s">
        <v>121</v>
      </c>
      <c r="L80" s="17" t="str">
        <f>IF(K80="","",(VLOOKUP(K80,tbDosen[NAMA DOSEN]:tbDosen[[NAMA DOSEN]:[KODE]],2,)))</f>
        <v>EFR</v>
      </c>
      <c r="M80" s="16" t="str">
        <f>IF(OR(I80="",I80="None"),"",IF(OR(K80="",K80="None"),I80,I80&amp;" / "&amp;K80))</f>
        <v>Yulianti,S.Kom, MMSI / Eva Faja Ripanti, S.Kom, MMSI, Ph.D</v>
      </c>
      <c r="N80" s="16" t="str">
        <f t="shared" si="14"/>
        <v>YL / EFR</v>
      </c>
      <c r="O80" s="18">
        <f>IF(OR(I80="",I80="None"),"",IF(OR(K80="",K80="None"),G80,G80/2))</f>
        <v>1</v>
      </c>
      <c r="P80" s="60" t="str">
        <f t="shared" ref="P80:P132" si="15">IF(D80="","",(IF(AND(G80=4,U80&lt;2),"ADA",IF(AND(G80&lt;4,U80=0),"ADA","TIDAK"))))</f>
        <v>TIDAK</v>
      </c>
      <c r="Q80" s="203" t="str">
        <f t="shared" si="8"/>
        <v/>
      </c>
      <c r="R80" s="203" t="str">
        <f t="shared" si="9"/>
        <v/>
      </c>
      <c r="S80" s="203" t="str">
        <f t="shared" si="10"/>
        <v>Yulianti,S.Kom, MMSI</v>
      </c>
      <c r="T80" s="203" t="str">
        <f t="shared" si="11"/>
        <v>Eva Faja Ripanti, S.Kom, MMSI, Ph.D</v>
      </c>
      <c r="U80" s="12">
        <v>1</v>
      </c>
      <c r="V80" s="11" t="str">
        <f t="shared" si="12"/>
        <v/>
      </c>
      <c r="W80" s="165">
        <f t="shared" si="13"/>
        <v>28</v>
      </c>
      <c r="X80" s="24"/>
    </row>
    <row r="81" spans="2:24" ht="45" customHeight="1" thickBot="1" x14ac:dyDescent="0.35">
      <c r="B81" s="24"/>
      <c r="C81" s="68" t="str">
        <f>IF(OR(I81="",I81="None"),"-",IF(OR(K81="",K81="None"),E81&amp;" "&amp;"SEM-"&amp;F81&amp;" "&amp;"SKS-"&amp;G81&amp;" "&amp;H81&amp;" "&amp;J81,E81&amp;" "&amp;"SEM-"&amp;F81&amp;" SKS-"&amp;G81&amp;" "&amp;"S"&amp;H81&amp;" "&amp;H81&amp;" "&amp;J81&amp;"/"&amp;L81))</f>
        <v>Sistem Informasi SEM-4 SKS-2 SB B EFR/YL</v>
      </c>
      <c r="D81" s="14" t="str">
        <f>IF(J$79&gt;='TABLE SISTEM'!A$4,'TABLE MK'!I$14,"")</f>
        <v>INF-55201-213</v>
      </c>
      <c r="E81" s="14" t="str">
        <f>IF(D81="","",(VLOOKUP(D81,Table6[[#All],[Kode MK]:[Mata Kuliah Prasayarat]],2,)))</f>
        <v>Sistem Informasi</v>
      </c>
      <c r="F81" s="15">
        <f>IF(D81="","",(VLOOKUP(D81,Table6[[#All],[Kode MK]:[Mata Kuliah Prasayarat]],3,)))</f>
        <v>4</v>
      </c>
      <c r="G81" s="15">
        <f>IF(D81="","",(VLOOKUP(D81,Table6[[#All],[Kode MK]:[Mata Kuliah Prasayarat]],4,)))</f>
        <v>2</v>
      </c>
      <c r="H81" s="15" t="str">
        <f>IF(D81="","","B")</f>
        <v>B</v>
      </c>
      <c r="I81" s="21" t="s">
        <v>121</v>
      </c>
      <c r="J81" s="17" t="str">
        <f>IF(I81="","",(VLOOKUP(I81,tbDosen[NAMA DOSEN]:tbDosen[[NAMA DOSEN]:[KODE]],2,)))</f>
        <v>EFR</v>
      </c>
      <c r="K81" s="21" t="s">
        <v>145</v>
      </c>
      <c r="L81" s="17" t="str">
        <f>IF(K81="","",(VLOOKUP(K81,tbDosen[NAMA DOSEN]:tbDosen[[NAMA DOSEN]:[KODE]],2,)))</f>
        <v>YL</v>
      </c>
      <c r="M81" s="16" t="str">
        <f>IF(OR(I81="",I81="None"),"",IF(OR(K81="",K81="None"),I81,I81&amp;" / "&amp;K81))</f>
        <v>Eva Faja Ripanti, S.Kom, MMSI, Ph.D / Yulianti,S.Kom, MMSI</v>
      </c>
      <c r="N81" s="16" t="str">
        <f t="shared" si="14"/>
        <v>EFR / YL</v>
      </c>
      <c r="O81" s="18">
        <f>IF(OR(I81="",I81="None"),"",IF(OR(K81="",K81="None"),G81,G81/2))</f>
        <v>1</v>
      </c>
      <c r="P81" s="61" t="str">
        <f t="shared" si="15"/>
        <v>TIDAK</v>
      </c>
      <c r="Q81" s="203" t="str">
        <f t="shared" si="8"/>
        <v/>
      </c>
      <c r="R81" s="203" t="str">
        <f t="shared" si="9"/>
        <v/>
      </c>
      <c r="S81" s="203" t="str">
        <f t="shared" si="10"/>
        <v>Eva Faja Ripanti, S.Kom, MMSI, Ph.D</v>
      </c>
      <c r="T81" s="203" t="str">
        <f t="shared" si="11"/>
        <v>Yulianti,S.Kom, MMSI</v>
      </c>
      <c r="U81" s="12">
        <v>1</v>
      </c>
      <c r="V81" s="11" t="str">
        <f t="shared" si="12"/>
        <v/>
      </c>
      <c r="W81" s="165">
        <f t="shared" si="13"/>
        <v>28</v>
      </c>
      <c r="X81" s="24"/>
    </row>
    <row r="82" spans="2:24" ht="45" customHeight="1" thickBot="1" x14ac:dyDescent="0.35">
      <c r="B82" s="24"/>
      <c r="C82" s="68" t="str">
        <f>IF(OR(I82="",I82="None"),"-",IF(OR(K82="",K82="None"),E82&amp;" "&amp;"SEM-"&amp;F82&amp;" "&amp;"SKS-"&amp;G82&amp;" "&amp;H82&amp;" "&amp;J82,E82&amp;" "&amp;"SEM-"&amp;F82&amp;" SKS-"&amp;G82&amp;" "&amp;"S"&amp;H82&amp;" "&amp;H82&amp;" "&amp;J82&amp;"/"&amp;L82))</f>
        <v>Sistem Informasi SEM-4 SKS-2 SC C YL/EFR</v>
      </c>
      <c r="D82" s="14" t="str">
        <f>IF(J$79&gt;='TABLE SISTEM'!A$5,'TABLE MK'!I$14,"")</f>
        <v>INF-55201-213</v>
      </c>
      <c r="E82" s="14" t="str">
        <f>IF(D82="","",(VLOOKUP(D82,Table6[[#All],[Kode MK]:[Mata Kuliah Prasayarat]],2,)))</f>
        <v>Sistem Informasi</v>
      </c>
      <c r="F82" s="15">
        <f>IF(D82="","",(VLOOKUP(D82,Table6[[#All],[Kode MK]:[Mata Kuliah Prasayarat]],3,)))</f>
        <v>4</v>
      </c>
      <c r="G82" s="15">
        <f>IF(D82="","",(VLOOKUP(D82,Table6[[#All],[Kode MK]:[Mata Kuliah Prasayarat]],4,)))</f>
        <v>2</v>
      </c>
      <c r="H82" s="15" t="str">
        <f>IF(D82="","","C")</f>
        <v>C</v>
      </c>
      <c r="I82" s="21" t="s">
        <v>145</v>
      </c>
      <c r="J82" s="17" t="str">
        <f>IF(I82="","",(VLOOKUP(I82,tbDosen[NAMA DOSEN]:tbDosen[[NAMA DOSEN]:[KODE]],2,)))</f>
        <v>YL</v>
      </c>
      <c r="K82" s="21" t="s">
        <v>121</v>
      </c>
      <c r="L82" s="17" t="str">
        <f>IF(K82="","",(VLOOKUP(K82,tbDosen[NAMA DOSEN]:tbDosen[[NAMA DOSEN]:[KODE]],2,)))</f>
        <v>EFR</v>
      </c>
      <c r="M82" s="16" t="str">
        <f>IF(OR(I82="",I82="None"),"",IF(OR(K82="",K82="None"),I82,I82&amp;" / "&amp;K82))</f>
        <v>Yulianti,S.Kom, MMSI / Eva Faja Ripanti, S.Kom, MMSI, Ph.D</v>
      </c>
      <c r="N82" s="16" t="str">
        <f t="shared" si="14"/>
        <v>YL / EFR</v>
      </c>
      <c r="O82" s="18">
        <f>IF(OR(I82="",I82="None"),"",IF(OR(K82="",K82="None"),G82,G82/2))</f>
        <v>1</v>
      </c>
      <c r="P82" s="61" t="str">
        <f t="shared" si="15"/>
        <v>TIDAK</v>
      </c>
      <c r="Q82" s="203" t="str">
        <f t="shared" si="8"/>
        <v/>
      </c>
      <c r="R82" s="203" t="str">
        <f t="shared" si="9"/>
        <v/>
      </c>
      <c r="S82" s="203" t="str">
        <f t="shared" si="10"/>
        <v>Yulianti,S.Kom, MMSI</v>
      </c>
      <c r="T82" s="203" t="str">
        <f t="shared" si="11"/>
        <v>Eva Faja Ripanti, S.Kom, MMSI, Ph.D</v>
      </c>
      <c r="U82" s="12">
        <v>1</v>
      </c>
      <c r="V82" s="11" t="str">
        <f t="shared" si="12"/>
        <v/>
      </c>
      <c r="W82" s="165">
        <f t="shared" si="13"/>
        <v>28</v>
      </c>
      <c r="X82" s="24"/>
    </row>
    <row r="83" spans="2:24" ht="45" customHeight="1" thickBot="1" x14ac:dyDescent="0.35">
      <c r="B83" s="24"/>
      <c r="C83" s="68" t="str">
        <f>IF(OR(I83="",I83="None"),"-",IF(OR(K83="",K83="None"),E83&amp;" "&amp;"SEM-"&amp;F83&amp;" "&amp;"SKS-"&amp;G83&amp;" "&amp;H83&amp;" "&amp;J83,E83&amp;" "&amp;"SEM-"&amp;F83&amp;" SKS-"&amp;G83&amp;" "&amp;"S"&amp;H83&amp;" "&amp;H83&amp;" "&amp;J83&amp;"/"&amp;L83))</f>
        <v>Sistem Informasi SEM-4 SKS-2 SD D EFR/YL</v>
      </c>
      <c r="D83" s="14" t="str">
        <f>IF(J$79&gt;='TABLE SISTEM'!A$6,'TABLE MK'!I$14,"")</f>
        <v>INF-55201-213</v>
      </c>
      <c r="E83" s="14" t="str">
        <f>IF(D83="","",(VLOOKUP(D83,Table6[[#All],[Kode MK]:[Mata Kuliah Prasayarat]],2,)))</f>
        <v>Sistem Informasi</v>
      </c>
      <c r="F83" s="15">
        <f>IF(D83="","",(VLOOKUP(D83,Table6[[#All],[Kode MK]:[Mata Kuliah Prasayarat]],3,)))</f>
        <v>4</v>
      </c>
      <c r="G83" s="15">
        <f>IF(D83="","",(VLOOKUP(D83,Table6[[#All],[Kode MK]:[Mata Kuliah Prasayarat]],4,)))</f>
        <v>2</v>
      </c>
      <c r="H83" s="15" t="str">
        <f>IF(D83="","","D")</f>
        <v>D</v>
      </c>
      <c r="I83" s="21" t="s">
        <v>121</v>
      </c>
      <c r="J83" s="17" t="str">
        <f>IF(I83="","",(VLOOKUP(I83,tbDosen[NAMA DOSEN]:tbDosen[[NAMA DOSEN]:[KODE]],2,)))</f>
        <v>EFR</v>
      </c>
      <c r="K83" s="21" t="s">
        <v>145</v>
      </c>
      <c r="L83" s="17" t="str">
        <f>IF(K83="","",(VLOOKUP(K83,tbDosen[NAMA DOSEN]:tbDosen[[NAMA DOSEN]:[KODE]],2,)))</f>
        <v>YL</v>
      </c>
      <c r="M83" s="16" t="str">
        <f>IF(OR(I83="",I83="None"),"",IF(OR(K83="",K83="None"),I83,I83&amp;" / "&amp;K83))</f>
        <v>Eva Faja Ripanti, S.Kom, MMSI, Ph.D / Yulianti,S.Kom, MMSI</v>
      </c>
      <c r="N83" s="16" t="str">
        <f t="shared" si="14"/>
        <v>EFR / YL</v>
      </c>
      <c r="O83" s="18">
        <f>IF(OR(I83="",I83="None"),"",IF(OR(K83="",K83="None"),G83,G83/2))</f>
        <v>1</v>
      </c>
      <c r="P83" s="61" t="str">
        <f t="shared" si="15"/>
        <v>TIDAK</v>
      </c>
      <c r="Q83" s="203" t="str">
        <f t="shared" si="8"/>
        <v/>
      </c>
      <c r="R83" s="203" t="str">
        <f t="shared" si="9"/>
        <v/>
      </c>
      <c r="S83" s="203" t="str">
        <f t="shared" si="10"/>
        <v>Eva Faja Ripanti, S.Kom, MMSI, Ph.D</v>
      </c>
      <c r="T83" s="203" t="str">
        <f t="shared" si="11"/>
        <v>Yulianti,S.Kom, MMSI</v>
      </c>
      <c r="U83" s="12">
        <v>1</v>
      </c>
      <c r="V83" s="11" t="str">
        <f t="shared" si="12"/>
        <v/>
      </c>
      <c r="W83" s="165">
        <f t="shared" si="13"/>
        <v>28</v>
      </c>
      <c r="X83" s="24"/>
    </row>
    <row r="84" spans="2:24" ht="45" customHeight="1" x14ac:dyDescent="0.3">
      <c r="B84" s="24"/>
      <c r="C84" s="68" t="str">
        <f>IF(OR(I84="",I84="None"),"-",IF(OR(K84="",K84="None"),E84&amp;" "&amp;"SEM-"&amp;F84&amp;" "&amp;"SKS-"&amp;G84&amp;" "&amp;H84&amp;" "&amp;J84,E84&amp;" "&amp;"SEM-"&amp;F84&amp;" SKS-"&amp;G84&amp;" "&amp;"S"&amp;H84&amp;" "&amp;H84&amp;" "&amp;J84&amp;"/"&amp;L84))</f>
        <v>-</v>
      </c>
      <c r="D84" s="14" t="str">
        <f>IF(J$79&gt;='TABLE SISTEM'!A$7,'TABLE MK'!I$14,"")</f>
        <v/>
      </c>
      <c r="E84" s="14" t="str">
        <f>IF(D84="","",(VLOOKUP(D84,Table6[[#All],[Kode MK]:[Mata Kuliah Prasayarat]],2,)))</f>
        <v/>
      </c>
      <c r="F84" s="15" t="str">
        <f>IF(D84="","",(VLOOKUP(D84,Table6[[#All],[Kode MK]:[Mata Kuliah Prasayarat]],3,)))</f>
        <v/>
      </c>
      <c r="G84" s="15" t="str">
        <f>IF(D84="","",(VLOOKUP(D84,Table6[[#All],[Kode MK]:[Mata Kuliah Prasayarat]],4,)))</f>
        <v/>
      </c>
      <c r="H84" s="15" t="str">
        <f>IF(D84="","","E")</f>
        <v/>
      </c>
      <c r="I84" s="44" t="s">
        <v>105</v>
      </c>
      <c r="J84" s="17" t="str">
        <f>IF(I84="","",(VLOOKUP(I84,tbDosen[NAMA DOSEN]:tbDosen[[NAMA DOSEN]:[KODE]],2,)))</f>
        <v>-</v>
      </c>
      <c r="K84" s="44" t="s">
        <v>105</v>
      </c>
      <c r="L84" s="17" t="str">
        <f>IF(K84="","",(VLOOKUP(K84,tbDosen[NAMA DOSEN]:tbDosen[[NAMA DOSEN]:[KODE]],2,)))</f>
        <v>-</v>
      </c>
      <c r="M84" s="16" t="str">
        <f>IF(OR(I84="",I84="None"),"",IF(OR(K84="",K84="None"),I84,I84&amp;" / "&amp;K84))</f>
        <v/>
      </c>
      <c r="N84" s="16" t="str">
        <f t="shared" si="14"/>
        <v/>
      </c>
      <c r="O84" s="18" t="str">
        <f>IF(OR(I84="",I84="None"),"",IF(OR(K84="",K84="None"),G84,G84/2))</f>
        <v/>
      </c>
      <c r="P84" s="62" t="str">
        <f t="shared" si="15"/>
        <v/>
      </c>
      <c r="Q84" s="203" t="str">
        <f t="shared" si="8"/>
        <v/>
      </c>
      <c r="R84" s="203" t="str">
        <f t="shared" si="9"/>
        <v/>
      </c>
      <c r="S84" s="203" t="str">
        <f t="shared" si="10"/>
        <v/>
      </c>
      <c r="T84" s="203" t="str">
        <f t="shared" si="11"/>
        <v/>
      </c>
      <c r="U84" s="12">
        <v>0</v>
      </c>
      <c r="V84" s="11" t="str">
        <f t="shared" si="12"/>
        <v/>
      </c>
      <c r="W84" s="165">
        <f t="shared" si="13"/>
        <v>35</v>
      </c>
      <c r="X84" s="24"/>
    </row>
    <row r="85" spans="2:24" ht="45" customHeight="1" thickBot="1" x14ac:dyDescent="0.35">
      <c r="B85" s="24"/>
      <c r="C85" s="67"/>
      <c r="D85" s="41" t="s">
        <v>157</v>
      </c>
      <c r="E85" s="256" t="str">
        <f>'TABLE MK'!J15</f>
        <v>Sistem Pendukung Keputusan</v>
      </c>
      <c r="F85" s="256"/>
      <c r="G85" s="256"/>
      <c r="H85" s="256"/>
      <c r="I85" s="41" t="s">
        <v>95</v>
      </c>
      <c r="J85" s="40">
        <v>4</v>
      </c>
      <c r="K85" s="42"/>
      <c r="L85" s="43"/>
      <c r="M85" s="43" t="s">
        <v>161</v>
      </c>
      <c r="N85" s="45"/>
      <c r="O85" s="42"/>
      <c r="P85" s="63"/>
      <c r="Q85" s="203" t="str">
        <f t="shared" si="8"/>
        <v/>
      </c>
      <c r="R85" s="203" t="str">
        <f t="shared" si="9"/>
        <v/>
      </c>
      <c r="S85" s="203" t="str">
        <f t="shared" si="10"/>
        <v>Jumlah Kelas</v>
      </c>
      <c r="T85" s="203">
        <f t="shared" si="11"/>
        <v>0</v>
      </c>
      <c r="U85" s="12">
        <v>0</v>
      </c>
      <c r="V85" s="11" t="str">
        <f t="shared" si="12"/>
        <v/>
      </c>
      <c r="W85" s="165">
        <f t="shared" si="13"/>
        <v>35</v>
      </c>
      <c r="X85" s="24"/>
    </row>
    <row r="86" spans="2:24" ht="45" customHeight="1" thickBot="1" x14ac:dyDescent="0.35">
      <c r="B86" s="24"/>
      <c r="C86" s="68" t="str">
        <f>IF(OR(I86="",I86="None"),"-",IF(OR(K86="",K86="None"),E86&amp;" "&amp;"SEM-"&amp;F86&amp;" "&amp;"SKS-"&amp;G86&amp;" "&amp;H86&amp;" "&amp;J86,E86&amp;" "&amp;"SEM-"&amp;F86&amp;" SKS-"&amp;G86&amp;" "&amp;"S"&amp;H86&amp;" "&amp;H86&amp;" "&amp;J86&amp;"/"&amp;L86))</f>
        <v>Sistem Pendukung Keputusan SEM-4 SKS-3 SA A TR/SP</v>
      </c>
      <c r="D86" s="14" t="str">
        <f>IF(J$85&gt;='TABLE SISTEM'!A$3,'TABLE MK'!I$15,"")</f>
        <v>INF-55201-214</v>
      </c>
      <c r="E86" s="14" t="str">
        <f>IF(D86="","",(VLOOKUP(D86,Table6[[#All],[Kode MK]:[Mata Kuliah Prasayarat]],2,)))</f>
        <v>Sistem Pendukung Keputusan</v>
      </c>
      <c r="F86" s="15">
        <f>IF(D86="","",(VLOOKUP(D86,Table6[[#All],[Kode MK]:[Mata Kuliah Prasayarat]],3,)))</f>
        <v>4</v>
      </c>
      <c r="G86" s="15">
        <f>IF(D86="","",(VLOOKUP(D86,Table6[[#All],[Kode MK]:[Mata Kuliah Prasayarat]],4,)))</f>
        <v>3</v>
      </c>
      <c r="H86" s="15" t="str">
        <f>IF(D86="","","A")</f>
        <v>A</v>
      </c>
      <c r="I86" s="21" t="s">
        <v>143</v>
      </c>
      <c r="J86" s="17" t="str">
        <f>IF(I86="","",(VLOOKUP(I86,tbDosen[NAMA DOSEN]:tbDosen[[NAMA DOSEN]:[KODE]],2,)))</f>
        <v>TR</v>
      </c>
      <c r="K86" s="39" t="s">
        <v>560</v>
      </c>
      <c r="L86" s="17" t="str">
        <f>IF(K86="","",(VLOOKUP(K86,tbDosen[NAMA DOSEN]:tbDosen[[NAMA DOSEN]:[KODE]],2,)))</f>
        <v>SP</v>
      </c>
      <c r="M86" s="16" t="str">
        <f>IF(OR(I86="",I86="None"),"",IF(OR(K86="",K86="None"),I86,I86&amp;" / "&amp;K86))</f>
        <v>Tursina ST, M.Cs / Prof. Dr. -Ing. Seno D. Panjaitan, S.T., M.T., IPM.</v>
      </c>
      <c r="N86" s="16" t="str">
        <f t="shared" si="14"/>
        <v>TR / SP</v>
      </c>
      <c r="O86" s="18">
        <f>IF(OR(I86="",I86="None"),"",IF(OR(K86="",K86="None"),G86,G86/2))</f>
        <v>1.5</v>
      </c>
      <c r="P86" s="60" t="str">
        <f t="shared" si="15"/>
        <v>TIDAK</v>
      </c>
      <c r="Q86" s="203" t="str">
        <f t="shared" si="8"/>
        <v/>
      </c>
      <c r="R86" s="203" t="str">
        <f t="shared" si="9"/>
        <v/>
      </c>
      <c r="S86" s="203" t="str">
        <f t="shared" si="10"/>
        <v>Tursina ST, M.Cs</v>
      </c>
      <c r="T86" s="203" t="str">
        <f t="shared" si="11"/>
        <v>Prof. Dr. -Ing. Seno D. Panjaitan, S.T., M.T., IPM.</v>
      </c>
      <c r="U86" s="12">
        <v>1</v>
      </c>
      <c r="V86" s="11" t="str">
        <f t="shared" si="12"/>
        <v/>
      </c>
      <c r="W86" s="165">
        <f t="shared" si="13"/>
        <v>28</v>
      </c>
      <c r="X86" s="24"/>
    </row>
    <row r="87" spans="2:24" ht="45" customHeight="1" thickBot="1" x14ac:dyDescent="0.35">
      <c r="B87" s="24"/>
      <c r="C87" s="68" t="str">
        <f>IF(OR(I87="",I87="None"),"-",IF(OR(K87="",K87="None"),E87&amp;" "&amp;"SEM-"&amp;F87&amp;" "&amp;"SKS-"&amp;G87&amp;" "&amp;H87&amp;" "&amp;J87,E87&amp;" "&amp;"SEM-"&amp;F87&amp;" SKS-"&amp;G87&amp;" "&amp;"S"&amp;H87&amp;" "&amp;H87&amp;" "&amp;J87&amp;"/"&amp;L87))</f>
        <v>Sistem Pendukung Keputusan SEM-4 SKS-3 B TR</v>
      </c>
      <c r="D87" s="14" t="str">
        <f>IF(J$85&gt;='TABLE SISTEM'!A$4,'TABLE MK'!I$15,"")</f>
        <v>INF-55201-214</v>
      </c>
      <c r="E87" s="14" t="str">
        <f>IF(D87="","",(VLOOKUP(D87,Table6[[#All],[Kode MK]:[Mata Kuliah Prasayarat]],2,)))</f>
        <v>Sistem Pendukung Keputusan</v>
      </c>
      <c r="F87" s="15">
        <f>IF(D87="","",(VLOOKUP(D87,Table6[[#All],[Kode MK]:[Mata Kuliah Prasayarat]],3,)))</f>
        <v>4</v>
      </c>
      <c r="G87" s="15">
        <f>IF(D87="","",(VLOOKUP(D87,Table6[[#All],[Kode MK]:[Mata Kuliah Prasayarat]],4,)))</f>
        <v>3</v>
      </c>
      <c r="H87" s="15" t="str">
        <f>IF(D87="","","B")</f>
        <v>B</v>
      </c>
      <c r="I87" s="21" t="s">
        <v>143</v>
      </c>
      <c r="J87" s="17" t="str">
        <f>IF(I87="","",(VLOOKUP(I87,tbDosen[NAMA DOSEN]:tbDosen[[NAMA DOSEN]:[KODE]],2,)))</f>
        <v>TR</v>
      </c>
      <c r="K87" s="39" t="s">
        <v>105</v>
      </c>
      <c r="L87" s="17" t="str">
        <f>IF(K87="","",(VLOOKUP(K87,tbDosen[NAMA DOSEN]:tbDosen[[NAMA DOSEN]:[KODE]],2,)))</f>
        <v>-</v>
      </c>
      <c r="M87" s="16" t="str">
        <f>IF(OR(I87="",I87="None"),"",IF(OR(K87="",K87="None"),I87,I87&amp;" / "&amp;K87))</f>
        <v>Tursina ST, M.Cs</v>
      </c>
      <c r="N87" s="16" t="str">
        <f t="shared" si="14"/>
        <v>TR</v>
      </c>
      <c r="O87" s="18">
        <f>IF(OR(I87="",I87="None"),"",IF(OR(K87="",K87="None"),G87,G87/2))</f>
        <v>3</v>
      </c>
      <c r="P87" s="61" t="str">
        <f t="shared" si="15"/>
        <v>TIDAK</v>
      </c>
      <c r="Q87" s="203" t="str">
        <f t="shared" si="8"/>
        <v/>
      </c>
      <c r="R87" s="203" t="str">
        <f t="shared" si="9"/>
        <v/>
      </c>
      <c r="S87" s="203" t="str">
        <f t="shared" si="10"/>
        <v/>
      </c>
      <c r="T87" s="203" t="str">
        <f t="shared" si="11"/>
        <v/>
      </c>
      <c r="U87" s="12">
        <v>1</v>
      </c>
      <c r="V87" s="11" t="str">
        <f t="shared" si="12"/>
        <v/>
      </c>
      <c r="W87" s="165">
        <f t="shared" si="13"/>
        <v>28</v>
      </c>
      <c r="X87" s="24"/>
    </row>
    <row r="88" spans="2:24" ht="45" customHeight="1" thickBot="1" x14ac:dyDescent="0.35">
      <c r="B88" s="24"/>
      <c r="C88" s="68" t="str">
        <f>IF(OR(I88="",I88="None"),"-",IF(OR(K88="",K88="None"),E88&amp;" "&amp;"SEM-"&amp;F88&amp;" "&amp;"SKS-"&amp;G88&amp;" "&amp;H88&amp;" "&amp;J88,E88&amp;" "&amp;"SEM-"&amp;F88&amp;" SKS-"&amp;G88&amp;" "&amp;"S"&amp;H88&amp;" "&amp;H88&amp;" "&amp;J88&amp;"/"&amp;L88))</f>
        <v>Sistem Pendukung Keputusan SEM-4 SKS-3 C TR</v>
      </c>
      <c r="D88" s="14" t="str">
        <f>IF(J$85&gt;='TABLE SISTEM'!A$5,'TABLE MK'!I$15,"")</f>
        <v>INF-55201-214</v>
      </c>
      <c r="E88" s="14" t="str">
        <f>IF(D88="","",(VLOOKUP(D88,Table6[[#All],[Kode MK]:[Mata Kuliah Prasayarat]],2,)))</f>
        <v>Sistem Pendukung Keputusan</v>
      </c>
      <c r="F88" s="15">
        <f>IF(D88="","",(VLOOKUP(D88,Table6[[#All],[Kode MK]:[Mata Kuliah Prasayarat]],3,)))</f>
        <v>4</v>
      </c>
      <c r="G88" s="15">
        <f>IF(D88="","",(VLOOKUP(D88,Table6[[#All],[Kode MK]:[Mata Kuliah Prasayarat]],4,)))</f>
        <v>3</v>
      </c>
      <c r="H88" s="15" t="str">
        <f>IF(D88="","","C")</f>
        <v>C</v>
      </c>
      <c r="I88" s="21" t="s">
        <v>143</v>
      </c>
      <c r="J88" s="17" t="str">
        <f>IF(I88="","",(VLOOKUP(I88,tbDosen[NAMA DOSEN]:tbDosen[[NAMA DOSEN]:[KODE]],2,)))</f>
        <v>TR</v>
      </c>
      <c r="K88" s="39" t="s">
        <v>105</v>
      </c>
      <c r="L88" s="17" t="str">
        <f>IF(K88="","",(VLOOKUP(K88,tbDosen[NAMA DOSEN]:tbDosen[[NAMA DOSEN]:[KODE]],2,)))</f>
        <v>-</v>
      </c>
      <c r="M88" s="16" t="str">
        <f>IF(OR(I88="",I88="None"),"",IF(OR(K88="",K88="None"),I88,I88&amp;" / "&amp;K88))</f>
        <v>Tursina ST, M.Cs</v>
      </c>
      <c r="N88" s="16" t="str">
        <f t="shared" si="14"/>
        <v>TR</v>
      </c>
      <c r="O88" s="18">
        <f>IF(OR(I88="",I88="None"),"",IF(OR(K88="",K88="None"),G88,G88/2))</f>
        <v>3</v>
      </c>
      <c r="P88" s="61" t="str">
        <f t="shared" si="15"/>
        <v>TIDAK</v>
      </c>
      <c r="Q88" s="203" t="str">
        <f t="shared" si="8"/>
        <v/>
      </c>
      <c r="R88" s="203" t="str">
        <f t="shared" si="9"/>
        <v/>
      </c>
      <c r="S88" s="203" t="str">
        <f t="shared" si="10"/>
        <v/>
      </c>
      <c r="T88" s="203" t="str">
        <f t="shared" si="11"/>
        <v/>
      </c>
      <c r="U88" s="12">
        <v>1</v>
      </c>
      <c r="V88" s="11" t="str">
        <f t="shared" si="12"/>
        <v/>
      </c>
      <c r="W88" s="165">
        <f t="shared" si="13"/>
        <v>28</v>
      </c>
      <c r="X88" s="24"/>
    </row>
    <row r="89" spans="2:24" ht="45" customHeight="1" thickBot="1" x14ac:dyDescent="0.35">
      <c r="B89" s="24"/>
      <c r="C89" s="68" t="str">
        <f>IF(OR(I89="",I89="None"),"-",IF(OR(K89="",K89="None"),E89&amp;" "&amp;"SEM-"&amp;F89&amp;" "&amp;"SKS-"&amp;G89&amp;" "&amp;H89&amp;" "&amp;J89,E89&amp;" "&amp;"SEM-"&amp;F89&amp;" SKS-"&amp;G89&amp;" "&amp;"S"&amp;H89&amp;" "&amp;H89&amp;" "&amp;J89&amp;"/"&amp;L89))</f>
        <v>Sistem Pendukung Keputusan SEM-4 SKS-3 D TR</v>
      </c>
      <c r="D89" s="14" t="str">
        <f>IF(J$85&gt;='TABLE SISTEM'!A$6,'TABLE MK'!I$15,"")</f>
        <v>INF-55201-214</v>
      </c>
      <c r="E89" s="14" t="str">
        <f>IF(D89="","",(VLOOKUP(D89,Table6[[#All],[Kode MK]:[Mata Kuliah Prasayarat]],2,)))</f>
        <v>Sistem Pendukung Keputusan</v>
      </c>
      <c r="F89" s="15">
        <f>IF(D89="","",(VLOOKUP(D89,Table6[[#All],[Kode MK]:[Mata Kuliah Prasayarat]],3,)))</f>
        <v>4</v>
      </c>
      <c r="G89" s="15">
        <f>IF(D89="","",(VLOOKUP(D89,Table6[[#All],[Kode MK]:[Mata Kuliah Prasayarat]],4,)))</f>
        <v>3</v>
      </c>
      <c r="H89" s="15" t="str">
        <f>IF(D89="","","D")</f>
        <v>D</v>
      </c>
      <c r="I89" s="21" t="s">
        <v>143</v>
      </c>
      <c r="J89" s="17" t="str">
        <f>IF(I89="","",(VLOOKUP(I89,tbDosen[NAMA DOSEN]:tbDosen[[NAMA DOSEN]:[KODE]],2,)))</f>
        <v>TR</v>
      </c>
      <c r="K89" s="39" t="s">
        <v>105</v>
      </c>
      <c r="L89" s="17" t="str">
        <f>IF(K89="","",(VLOOKUP(K89,tbDosen[NAMA DOSEN]:tbDosen[[NAMA DOSEN]:[KODE]],2,)))</f>
        <v>-</v>
      </c>
      <c r="M89" s="16" t="str">
        <f>IF(OR(I89="",I89="None"),"",IF(OR(K89="",K89="None"),I89,I89&amp;" / "&amp;K89))</f>
        <v>Tursina ST, M.Cs</v>
      </c>
      <c r="N89" s="16" t="str">
        <f t="shared" si="14"/>
        <v>TR</v>
      </c>
      <c r="O89" s="18">
        <f>IF(OR(I89="",I89="None"),"",IF(OR(K89="",K89="None"),G89,G89/2))</f>
        <v>3</v>
      </c>
      <c r="P89" s="61" t="str">
        <f t="shared" si="15"/>
        <v>TIDAK</v>
      </c>
      <c r="Q89" s="203" t="str">
        <f t="shared" si="8"/>
        <v/>
      </c>
      <c r="R89" s="203" t="str">
        <f t="shared" si="9"/>
        <v/>
      </c>
      <c r="S89" s="203" t="str">
        <f t="shared" si="10"/>
        <v/>
      </c>
      <c r="T89" s="203" t="str">
        <f t="shared" si="11"/>
        <v/>
      </c>
      <c r="U89" s="12">
        <v>1</v>
      </c>
      <c r="V89" s="11" t="str">
        <f t="shared" si="12"/>
        <v/>
      </c>
      <c r="W89" s="165">
        <f t="shared" si="13"/>
        <v>28</v>
      </c>
      <c r="X89" s="24"/>
    </row>
    <row r="90" spans="2:24" ht="45" customHeight="1" thickBot="1" x14ac:dyDescent="0.35">
      <c r="B90" s="24"/>
      <c r="C90" s="68" t="str">
        <f>IF(OR(I90="",I90="None"),"-",IF(OR(K90="",K90="None"),E90&amp;" "&amp;"SEM-"&amp;F90&amp;" "&amp;"SKS-"&amp;G90&amp;" "&amp;H90&amp;" "&amp;J90,E90&amp;" "&amp;"SEM-"&amp;F90&amp;" SKS-"&amp;G90&amp;" "&amp;"S"&amp;H90&amp;" "&amp;H90&amp;" "&amp;J90&amp;"/"&amp;L90))</f>
        <v>-</v>
      </c>
      <c r="D90" s="14" t="str">
        <f>IF(J$85&gt;='TABLE SISTEM'!A$7,'TABLE MK'!I$15,"")</f>
        <v/>
      </c>
      <c r="E90" s="14" t="str">
        <f>IF(D90="","",(VLOOKUP(D90,Table6[[#All],[Kode MK]:[Mata Kuliah Prasayarat]],2,)))</f>
        <v/>
      </c>
      <c r="F90" s="15" t="str">
        <f>IF(D90="","",(VLOOKUP(D90,Table6[[#All],[Kode MK]:[Mata Kuliah Prasayarat]],3,)))</f>
        <v/>
      </c>
      <c r="G90" s="15" t="str">
        <f>IF(D90="","",(VLOOKUP(D90,Table6[[#All],[Kode MK]:[Mata Kuliah Prasayarat]],4,)))</f>
        <v/>
      </c>
      <c r="H90" s="15" t="str">
        <f>IF(D90="","","E")</f>
        <v/>
      </c>
      <c r="I90" s="44" t="s">
        <v>105</v>
      </c>
      <c r="J90" s="17" t="str">
        <f>IF(I90="","",(VLOOKUP(I90,tbDosen[NAMA DOSEN]:tbDosen[[NAMA DOSEN]:[KODE]],2,)))</f>
        <v>-</v>
      </c>
      <c r="K90" s="39" t="s">
        <v>105</v>
      </c>
      <c r="L90" s="17" t="str">
        <f>IF(K90="","",(VLOOKUP(K90,tbDosen[NAMA DOSEN]:tbDosen[[NAMA DOSEN]:[KODE]],2,)))</f>
        <v>-</v>
      </c>
      <c r="M90" s="16" t="str">
        <f>IF(OR(I90="",I90="None"),"",IF(OR(K90="",K90="None"),I90,I90&amp;" / "&amp;K90))</f>
        <v/>
      </c>
      <c r="N90" s="16" t="str">
        <f t="shared" si="14"/>
        <v/>
      </c>
      <c r="O90" s="18" t="str">
        <f>IF(OR(I90="",I90="None"),"",IF(OR(K90="",K90="None"),G90,G90/2))</f>
        <v/>
      </c>
      <c r="P90" s="62" t="str">
        <f t="shared" si="15"/>
        <v/>
      </c>
      <c r="Q90" s="203" t="str">
        <f t="shared" si="8"/>
        <v/>
      </c>
      <c r="R90" s="203" t="str">
        <f t="shared" si="9"/>
        <v/>
      </c>
      <c r="S90" s="203" t="str">
        <f t="shared" si="10"/>
        <v/>
      </c>
      <c r="T90" s="203" t="str">
        <f t="shared" si="11"/>
        <v/>
      </c>
      <c r="U90" s="12">
        <v>0</v>
      </c>
      <c r="V90" s="11" t="str">
        <f t="shared" si="12"/>
        <v/>
      </c>
      <c r="W90" s="165">
        <f t="shared" si="13"/>
        <v>35</v>
      </c>
      <c r="X90" s="24"/>
    </row>
    <row r="91" spans="2:24" ht="45" customHeight="1" thickBot="1" x14ac:dyDescent="0.35">
      <c r="B91" s="24"/>
      <c r="C91" s="67"/>
      <c r="D91" s="41" t="s">
        <v>157</v>
      </c>
      <c r="E91" s="256" t="str">
        <f>'TABLE MK'!J16</f>
        <v xml:space="preserve">Teori Komputer Grafis </v>
      </c>
      <c r="F91" s="256"/>
      <c r="G91" s="256"/>
      <c r="H91" s="256"/>
      <c r="I91" s="41" t="s">
        <v>95</v>
      </c>
      <c r="J91" s="40">
        <v>4</v>
      </c>
      <c r="K91" s="42"/>
      <c r="L91" s="43"/>
      <c r="M91" s="43" t="s">
        <v>161</v>
      </c>
      <c r="N91" s="45"/>
      <c r="O91" s="42"/>
      <c r="P91" s="63"/>
      <c r="Q91" s="203" t="str">
        <f t="shared" si="8"/>
        <v/>
      </c>
      <c r="R91" s="203" t="str">
        <f t="shared" si="9"/>
        <v/>
      </c>
      <c r="S91" s="203" t="str">
        <f t="shared" si="10"/>
        <v>Jumlah Kelas</v>
      </c>
      <c r="T91" s="203">
        <f t="shared" si="11"/>
        <v>0</v>
      </c>
      <c r="U91" s="12">
        <v>0</v>
      </c>
      <c r="V91" s="11" t="str">
        <f t="shared" si="12"/>
        <v/>
      </c>
      <c r="W91" s="165">
        <f t="shared" si="13"/>
        <v>35</v>
      </c>
      <c r="X91" s="24"/>
    </row>
    <row r="92" spans="2:24" ht="45" customHeight="1" thickBot="1" x14ac:dyDescent="0.35">
      <c r="B92" s="24"/>
      <c r="C92" s="68" t="str">
        <f>IF(OR(I92="",I92="None"),"-",IF(OR(K92="",K92="None"),E92&amp;" "&amp;"SEM-"&amp;F92&amp;" "&amp;"SKS-"&amp;G92&amp;" "&amp;H92&amp;" "&amp;J92,E92&amp;" "&amp;"SEM-"&amp;F92&amp;" SKS-"&amp;G92&amp;" "&amp;"S"&amp;H92&amp;" "&amp;H92&amp;" "&amp;J92&amp;"/"&amp;L92))</f>
        <v>Teori Komputer Grafis  SEM-6 SKS-2 A HA</v>
      </c>
      <c r="D92" s="14" t="str">
        <f>IF(J$91&gt;='TABLE SISTEM'!A$3,'TABLE MK'!I$16,"")</f>
        <v xml:space="preserve"> INF-55201-307</v>
      </c>
      <c r="E92" s="14" t="str">
        <f>IF(D92="","",(VLOOKUP(D92,Table6[[#All],[Kode MK]:[Mata Kuliah Prasayarat]],2,)))</f>
        <v xml:space="preserve">Teori Komputer Grafis </v>
      </c>
      <c r="F92" s="15">
        <f>IF(D92="","",(VLOOKUP(D92,Table6[[#All],[Kode MK]:[Mata Kuliah Prasayarat]],3,)))</f>
        <v>6</v>
      </c>
      <c r="G92" s="15">
        <f>IF(D92="","",(VLOOKUP(D92,Table6[[#All],[Kode MK]:[Mata Kuliah Prasayarat]],4,)))</f>
        <v>2</v>
      </c>
      <c r="H92" s="15" t="str">
        <f>IF(D92="","","A")</f>
        <v>A</v>
      </c>
      <c r="I92" s="21" t="s">
        <v>123</v>
      </c>
      <c r="J92" s="17" t="str">
        <f>IF(I92="","",(VLOOKUP(I92,tbDosen[NAMA DOSEN]:tbDosen[[NAMA DOSEN]:[KODE]],2,)))</f>
        <v>HA</v>
      </c>
      <c r="K92" s="44" t="s">
        <v>105</v>
      </c>
      <c r="L92" s="17" t="str">
        <f>IF(K92="","",(VLOOKUP(K92,tbDosen[NAMA DOSEN]:tbDosen[[NAMA DOSEN]:[KODE]],2,)))</f>
        <v>-</v>
      </c>
      <c r="M92" s="16" t="str">
        <f>IF(OR(I92="",I92="None"),"",IF(OR(K92="",K92="None"),I92,I92&amp;" / "&amp;K92))</f>
        <v>H. Hengky Anra, S.T., M.Kom</v>
      </c>
      <c r="N92" s="16" t="str">
        <f t="shared" si="14"/>
        <v>HA</v>
      </c>
      <c r="O92" s="18">
        <f>IF(OR(I92="",I92="None"),"",IF(OR(K92="",K92="None"),G92,G92/2))</f>
        <v>2</v>
      </c>
      <c r="P92" s="60" t="str">
        <f t="shared" si="15"/>
        <v>TIDAK</v>
      </c>
      <c r="Q92" s="203" t="str">
        <f t="shared" si="8"/>
        <v/>
      </c>
      <c r="R92" s="203" t="str">
        <f t="shared" si="9"/>
        <v/>
      </c>
      <c r="S92" s="203" t="str">
        <f t="shared" si="10"/>
        <v/>
      </c>
      <c r="T92" s="203" t="str">
        <f t="shared" si="11"/>
        <v/>
      </c>
      <c r="U92" s="12">
        <v>1</v>
      </c>
      <c r="V92" s="11" t="str">
        <f t="shared" si="12"/>
        <v/>
      </c>
      <c r="W92" s="165">
        <f t="shared" si="13"/>
        <v>28</v>
      </c>
      <c r="X92" s="24"/>
    </row>
    <row r="93" spans="2:24" ht="45" customHeight="1" thickBot="1" x14ac:dyDescent="0.35">
      <c r="B93" s="24"/>
      <c r="C93" s="68" t="str">
        <f>IF(OR(I93="",I93="None"),"-",IF(OR(K93="",K93="None"),E93&amp;" "&amp;"SEM-"&amp;F93&amp;" "&amp;"SKS-"&amp;G93&amp;" "&amp;H93&amp;" "&amp;J93,E93&amp;" "&amp;"SEM-"&amp;F93&amp;" SKS-"&amp;G93&amp;" "&amp;"S"&amp;H93&amp;" "&amp;H93&amp;" "&amp;J93&amp;"/"&amp;L93))</f>
        <v>Teori Komputer Grafis  SEM-6 SKS-2 B HA</v>
      </c>
      <c r="D93" s="14" t="str">
        <f>IF(J$91&gt;='TABLE SISTEM'!A$4,'TABLE MK'!I$16,"")</f>
        <v xml:space="preserve"> INF-55201-307</v>
      </c>
      <c r="E93" s="14" t="str">
        <f>IF(D93="","",(VLOOKUP(D93,Table6[[#All],[Kode MK]:[Mata Kuliah Prasayarat]],2,)))</f>
        <v xml:space="preserve">Teori Komputer Grafis </v>
      </c>
      <c r="F93" s="15">
        <f>IF(D93="","",(VLOOKUP(D93,Table6[[#All],[Kode MK]:[Mata Kuliah Prasayarat]],3,)))</f>
        <v>6</v>
      </c>
      <c r="G93" s="15">
        <f>IF(D93="","",(VLOOKUP(D93,Table6[[#All],[Kode MK]:[Mata Kuliah Prasayarat]],4,)))</f>
        <v>2</v>
      </c>
      <c r="H93" s="15" t="str">
        <f>IF(D93="","","B")</f>
        <v>B</v>
      </c>
      <c r="I93" s="21" t="s">
        <v>123</v>
      </c>
      <c r="J93" s="17" t="str">
        <f>IF(I93="","",(VLOOKUP(I93,tbDosen[NAMA DOSEN]:tbDosen[[NAMA DOSEN]:[KODE]],2,)))</f>
        <v>HA</v>
      </c>
      <c r="K93" s="44" t="s">
        <v>105</v>
      </c>
      <c r="L93" s="17" t="str">
        <f>IF(K93="","",(VLOOKUP(K93,tbDosen[NAMA DOSEN]:tbDosen[[NAMA DOSEN]:[KODE]],2,)))</f>
        <v>-</v>
      </c>
      <c r="M93" s="16" t="str">
        <f>IF(OR(I93="",I93="None"),"",IF(OR(K93="",K93="None"),I93,I93&amp;" / "&amp;K93))</f>
        <v>H. Hengky Anra, S.T., M.Kom</v>
      </c>
      <c r="N93" s="16" t="str">
        <f t="shared" si="14"/>
        <v>HA</v>
      </c>
      <c r="O93" s="18">
        <f>IF(OR(I93="",I93="None"),"",IF(OR(K93="",K93="None"),G93,G93/2))</f>
        <v>2</v>
      </c>
      <c r="P93" s="61" t="str">
        <f t="shared" si="15"/>
        <v>TIDAK</v>
      </c>
      <c r="Q93" s="203" t="str">
        <f t="shared" si="8"/>
        <v/>
      </c>
      <c r="R93" s="203" t="str">
        <f t="shared" si="9"/>
        <v/>
      </c>
      <c r="S93" s="203" t="str">
        <f t="shared" si="10"/>
        <v/>
      </c>
      <c r="T93" s="203" t="str">
        <f t="shared" si="11"/>
        <v/>
      </c>
      <c r="U93" s="12">
        <v>1</v>
      </c>
      <c r="V93" s="11" t="str">
        <f t="shared" si="12"/>
        <v/>
      </c>
      <c r="W93" s="165">
        <f t="shared" si="13"/>
        <v>28</v>
      </c>
      <c r="X93" s="24"/>
    </row>
    <row r="94" spans="2:24" ht="45" customHeight="1" thickBot="1" x14ac:dyDescent="0.35">
      <c r="B94" s="24"/>
      <c r="C94" s="68" t="str">
        <f>IF(OR(I94="",I94="None"),"-",IF(OR(K94="",K94="None"),E94&amp;" "&amp;"SEM-"&amp;F94&amp;" "&amp;"SKS-"&amp;G94&amp;" "&amp;H94&amp;" "&amp;J94,E94&amp;" "&amp;"SEM-"&amp;F94&amp;" SKS-"&amp;G94&amp;" "&amp;"S"&amp;H94&amp;" "&amp;H94&amp;" "&amp;J94&amp;"/"&amp;L94))</f>
        <v>Teori Komputer Grafis  SEM-6 SKS-2 C HA</v>
      </c>
      <c r="D94" s="14" t="str">
        <f>IF(J$91&gt;='TABLE SISTEM'!A$5,'TABLE MK'!I$16,"")</f>
        <v xml:space="preserve"> INF-55201-307</v>
      </c>
      <c r="E94" s="14" t="str">
        <f>IF(D94="","",(VLOOKUP(D94,Table6[[#All],[Kode MK]:[Mata Kuliah Prasayarat]],2,)))</f>
        <v xml:space="preserve">Teori Komputer Grafis </v>
      </c>
      <c r="F94" s="15">
        <f>IF(D94="","",(VLOOKUP(D94,Table6[[#All],[Kode MK]:[Mata Kuliah Prasayarat]],3,)))</f>
        <v>6</v>
      </c>
      <c r="G94" s="15">
        <f>IF(D94="","",(VLOOKUP(D94,Table6[[#All],[Kode MK]:[Mata Kuliah Prasayarat]],4,)))</f>
        <v>2</v>
      </c>
      <c r="H94" s="15" t="str">
        <f>IF(D94="","","C")</f>
        <v>C</v>
      </c>
      <c r="I94" s="21" t="s">
        <v>123</v>
      </c>
      <c r="J94" s="17" t="str">
        <f>IF(I94="","",(VLOOKUP(I94,tbDosen[NAMA DOSEN]:tbDosen[[NAMA DOSEN]:[KODE]],2,)))</f>
        <v>HA</v>
      </c>
      <c r="K94" s="44" t="s">
        <v>105</v>
      </c>
      <c r="L94" s="17" t="str">
        <f>IF(K94="","",(VLOOKUP(K94,tbDosen[NAMA DOSEN]:tbDosen[[NAMA DOSEN]:[KODE]],2,)))</f>
        <v>-</v>
      </c>
      <c r="M94" s="16" t="str">
        <f>IF(OR(I94="",I94="None"),"",IF(OR(K94="",K94="None"),I94,I94&amp;" / "&amp;K94))</f>
        <v>H. Hengky Anra, S.T., M.Kom</v>
      </c>
      <c r="N94" s="16" t="str">
        <f t="shared" si="14"/>
        <v>HA</v>
      </c>
      <c r="O94" s="18">
        <f>IF(OR(I94="",I94="None"),"",IF(OR(K94="",K94="None"),G94,G94/2))</f>
        <v>2</v>
      </c>
      <c r="P94" s="61" t="str">
        <f t="shared" si="15"/>
        <v>TIDAK</v>
      </c>
      <c r="Q94" s="203" t="str">
        <f t="shared" si="8"/>
        <v/>
      </c>
      <c r="R94" s="203" t="str">
        <f t="shared" si="9"/>
        <v/>
      </c>
      <c r="S94" s="203" t="str">
        <f t="shared" si="10"/>
        <v/>
      </c>
      <c r="T94" s="203" t="str">
        <f t="shared" si="11"/>
        <v/>
      </c>
      <c r="U94" s="12">
        <v>1</v>
      </c>
      <c r="V94" s="11" t="str">
        <f t="shared" si="12"/>
        <v/>
      </c>
      <c r="W94" s="165">
        <f t="shared" si="13"/>
        <v>28</v>
      </c>
      <c r="X94" s="24"/>
    </row>
    <row r="95" spans="2:24" ht="45" customHeight="1" thickBot="1" x14ac:dyDescent="0.35">
      <c r="B95" s="24"/>
      <c r="C95" s="68" t="str">
        <f>IF(OR(I95="",I95="None"),"-",IF(OR(K95="",K95="None"),E95&amp;" "&amp;"SEM-"&amp;F95&amp;" "&amp;"SKS-"&amp;G95&amp;" "&amp;H95&amp;" "&amp;J95,E95&amp;" "&amp;"SEM-"&amp;F95&amp;" SKS-"&amp;G95&amp;" "&amp;"S"&amp;H95&amp;" "&amp;H95&amp;" "&amp;J95&amp;"/"&amp;L95))</f>
        <v>Teori Komputer Grafis  SEM-6 SKS-2 D HA</v>
      </c>
      <c r="D95" s="14" t="str">
        <f>IF(J$91&gt;='TABLE SISTEM'!A$6,'TABLE MK'!I$16,"")</f>
        <v xml:space="preserve"> INF-55201-307</v>
      </c>
      <c r="E95" s="14" t="str">
        <f>IF(D95="","",(VLOOKUP(D95,Table6[[#All],[Kode MK]:[Mata Kuliah Prasayarat]],2,)))</f>
        <v xml:space="preserve">Teori Komputer Grafis </v>
      </c>
      <c r="F95" s="15">
        <f>IF(D95="","",(VLOOKUP(D95,Table6[[#All],[Kode MK]:[Mata Kuliah Prasayarat]],3,)))</f>
        <v>6</v>
      </c>
      <c r="G95" s="15">
        <f>IF(D95="","",(VLOOKUP(D95,Table6[[#All],[Kode MK]:[Mata Kuliah Prasayarat]],4,)))</f>
        <v>2</v>
      </c>
      <c r="H95" s="15" t="str">
        <f>IF(D95="","","D")</f>
        <v>D</v>
      </c>
      <c r="I95" s="21" t="s">
        <v>123</v>
      </c>
      <c r="J95" s="17" t="str">
        <f>IF(I95="","",(VLOOKUP(I95,tbDosen[NAMA DOSEN]:tbDosen[[NAMA DOSEN]:[KODE]],2,)))</f>
        <v>HA</v>
      </c>
      <c r="K95" s="44" t="s">
        <v>105</v>
      </c>
      <c r="L95" s="17" t="str">
        <f>IF(K95="","",(VLOOKUP(K95,tbDosen[NAMA DOSEN]:tbDosen[[NAMA DOSEN]:[KODE]],2,)))</f>
        <v>-</v>
      </c>
      <c r="M95" s="16" t="str">
        <f>IF(OR(I95="",I95="None"),"",IF(OR(K95="",K95="None"),I95,I95&amp;" / "&amp;K95))</f>
        <v>H. Hengky Anra, S.T., M.Kom</v>
      </c>
      <c r="N95" s="16" t="str">
        <f t="shared" si="14"/>
        <v>HA</v>
      </c>
      <c r="O95" s="18">
        <f>IF(OR(I95="",I95="None"),"",IF(OR(K95="",K95="None"),G95,G95/2))</f>
        <v>2</v>
      </c>
      <c r="P95" s="61" t="str">
        <f t="shared" si="15"/>
        <v>TIDAK</v>
      </c>
      <c r="Q95" s="203" t="str">
        <f t="shared" si="8"/>
        <v/>
      </c>
      <c r="R95" s="203" t="str">
        <f t="shared" si="9"/>
        <v/>
      </c>
      <c r="S95" s="203" t="str">
        <f t="shared" si="10"/>
        <v/>
      </c>
      <c r="T95" s="203" t="str">
        <f t="shared" si="11"/>
        <v/>
      </c>
      <c r="U95" s="12">
        <v>1</v>
      </c>
      <c r="V95" s="11" t="str">
        <f t="shared" si="12"/>
        <v/>
      </c>
      <c r="W95" s="165">
        <f t="shared" si="13"/>
        <v>28</v>
      </c>
      <c r="X95" s="24"/>
    </row>
    <row r="96" spans="2:24" ht="45" customHeight="1" x14ac:dyDescent="0.3">
      <c r="B96" s="24"/>
      <c r="C96" s="68" t="str">
        <f>IF(OR(I96="",I96="None"),"-",IF(OR(K96="",K96="None"),E96&amp;" "&amp;"SEM-"&amp;F96&amp;" "&amp;"SKS-"&amp;G96&amp;" "&amp;H96&amp;" "&amp;J96,E96&amp;" "&amp;"SEM-"&amp;F96&amp;" SKS-"&amp;G96&amp;" "&amp;"S"&amp;H96&amp;" "&amp;H96&amp;" "&amp;J96&amp;"/"&amp;L96))</f>
        <v>-</v>
      </c>
      <c r="D96" s="14" t="str">
        <f>IF(J$91&gt;='TABLE SISTEM'!A$7,'TABLE MK'!I$16,"")</f>
        <v/>
      </c>
      <c r="E96" s="14" t="str">
        <f>IF(D96="","",(VLOOKUP(D96,Table6[[#All],[Kode MK]:[Mata Kuliah Prasayarat]],2,)))</f>
        <v/>
      </c>
      <c r="F96" s="15" t="str">
        <f>IF(D96="","",(VLOOKUP(D96,Table6[[#All],[Kode MK]:[Mata Kuliah Prasayarat]],3,)))</f>
        <v/>
      </c>
      <c r="G96" s="15" t="str">
        <f>IF(D96="","",(VLOOKUP(D96,Table6[[#All],[Kode MK]:[Mata Kuliah Prasayarat]],4,)))</f>
        <v/>
      </c>
      <c r="H96" s="15" t="str">
        <f>IF(D96="","","E")</f>
        <v/>
      </c>
      <c r="I96" s="44" t="s">
        <v>105</v>
      </c>
      <c r="J96" s="17" t="str">
        <f>IF(I96="","",(VLOOKUP(I96,tbDosen[NAMA DOSEN]:tbDosen[[NAMA DOSEN]:[KODE]],2,)))</f>
        <v>-</v>
      </c>
      <c r="K96" s="44" t="s">
        <v>105</v>
      </c>
      <c r="L96" s="17" t="str">
        <f>IF(K96="","",(VLOOKUP(K96,tbDosen[NAMA DOSEN]:tbDosen[[NAMA DOSEN]:[KODE]],2,)))</f>
        <v>-</v>
      </c>
      <c r="M96" s="16" t="str">
        <f>IF(OR(I96="",I96="None"),"",IF(OR(K96="",K96="None"),I96,I96&amp;" / "&amp;K96))</f>
        <v/>
      </c>
      <c r="N96" s="16" t="str">
        <f t="shared" si="14"/>
        <v/>
      </c>
      <c r="O96" s="18" t="str">
        <f>IF(OR(I96="",I96="None"),"",IF(OR(K96="",K96="None"),G96,G96/2))</f>
        <v/>
      </c>
      <c r="P96" s="62" t="str">
        <f t="shared" si="15"/>
        <v/>
      </c>
      <c r="Q96" s="203" t="str">
        <f t="shared" si="8"/>
        <v/>
      </c>
      <c r="R96" s="203" t="str">
        <f t="shared" si="9"/>
        <v/>
      </c>
      <c r="S96" s="203" t="str">
        <f t="shared" si="10"/>
        <v/>
      </c>
      <c r="T96" s="203" t="str">
        <f t="shared" si="11"/>
        <v/>
      </c>
      <c r="U96" s="12">
        <v>0</v>
      </c>
      <c r="V96" s="11" t="str">
        <f t="shared" si="12"/>
        <v/>
      </c>
      <c r="W96" s="165">
        <f t="shared" si="13"/>
        <v>35</v>
      </c>
      <c r="X96" s="24"/>
    </row>
    <row r="97" spans="2:24" ht="45" customHeight="1" thickBot="1" x14ac:dyDescent="0.35">
      <c r="B97" s="24"/>
      <c r="C97" s="194"/>
      <c r="D97" s="195" t="s">
        <v>157</v>
      </c>
      <c r="E97" s="257" t="str">
        <f>'TABLE MK'!J17</f>
        <v xml:space="preserve">Data  Mining  </v>
      </c>
      <c r="F97" s="257"/>
      <c r="G97" s="257"/>
      <c r="H97" s="257"/>
      <c r="I97" s="195" t="s">
        <v>95</v>
      </c>
      <c r="J97" s="196">
        <v>3</v>
      </c>
      <c r="K97" s="197"/>
      <c r="L97" s="198"/>
      <c r="M97" s="198" t="s">
        <v>161</v>
      </c>
      <c r="N97" s="199"/>
      <c r="O97" s="197"/>
      <c r="P97" s="200"/>
      <c r="Q97" s="203" t="str">
        <f t="shared" si="8"/>
        <v/>
      </c>
      <c r="R97" s="203" t="str">
        <f t="shared" si="9"/>
        <v/>
      </c>
      <c r="S97" s="203" t="str">
        <f t="shared" si="10"/>
        <v>Jumlah Kelas</v>
      </c>
      <c r="T97" s="203">
        <f t="shared" si="11"/>
        <v>0</v>
      </c>
      <c r="U97" s="12">
        <v>0</v>
      </c>
      <c r="V97" s="11" t="str">
        <f t="shared" si="12"/>
        <v/>
      </c>
      <c r="W97" s="165">
        <f t="shared" si="13"/>
        <v>35</v>
      </c>
      <c r="X97" s="24"/>
    </row>
    <row r="98" spans="2:24" ht="45" customHeight="1" thickBot="1" x14ac:dyDescent="0.35">
      <c r="B98" s="24"/>
      <c r="C98" s="68" t="str">
        <f>IF(OR(I98="",I98="None"),"-",IF(OR(K98="",K98="None"),E98&amp;" "&amp;"SEM-"&amp;F98&amp;" "&amp;"SKS-"&amp;G98&amp;" "&amp;H98&amp;" "&amp;J98,E98&amp;" "&amp;"SEM-"&amp;F98&amp;" SKS-"&amp;G98&amp;" "&amp;"S"&amp;H98&amp;" "&amp;H98&amp;" "&amp;J98&amp;"/"&amp;L98))</f>
        <v>Data  Mining   SEM-6 SKS-3 SA A EE/NC</v>
      </c>
      <c r="D98" s="14" t="str">
        <f>IF(J$97&gt;='TABLE SISTEM'!A$3,'TABLE MK'!I$17,"")</f>
        <v>INF­55201­516</v>
      </c>
      <c r="E98" s="14" t="str">
        <f>IF(D98="","",(VLOOKUP(D98,Table6[[#All],[Kode MK]:[Mata Kuliah Prasayarat]],2,)))</f>
        <v xml:space="preserve">Data  Mining  </v>
      </c>
      <c r="F98" s="15">
        <f>IF(D98="","",(VLOOKUP(D98,Table6[[#All],[Kode MK]:[Mata Kuliah Prasayarat]],3,)))</f>
        <v>6</v>
      </c>
      <c r="G98" s="15">
        <f>IF(D98="","",(VLOOKUP(D98,Table6[[#All],[Kode MK]:[Mata Kuliah Prasayarat]],4,)))</f>
        <v>3</v>
      </c>
      <c r="H98" s="15" t="str">
        <f>IF(D98="","","A")</f>
        <v>A</v>
      </c>
      <c r="I98" s="39" t="s">
        <v>119</v>
      </c>
      <c r="J98" s="17" t="str">
        <f>IF(I98="","",(VLOOKUP(I98,tbDosen[NAMA DOSEN]:tbDosen[[NAMA DOSEN]:[KODE]],2,)))</f>
        <v>EE</v>
      </c>
      <c r="K98" s="21" t="s">
        <v>338</v>
      </c>
      <c r="L98" s="17" t="str">
        <f>IF(K98="","",(VLOOKUP(K98,tbDosen[NAMA DOSEN]:tbDosen[[NAMA DOSEN]:[KODE]],2,)))</f>
        <v>NC</v>
      </c>
      <c r="M98" s="16" t="str">
        <f>IF(OR(I98="",I98="None"),"",IF(OR(K98="",K98="None"),I98,I98&amp;" / "&amp;K98))</f>
        <v>Enda Esyudha Pratama, S.T., M.T. / Niken Candraningrum, S.T., M.Cs.</v>
      </c>
      <c r="N98" s="16" t="str">
        <f t="shared" si="14"/>
        <v>EE / NC</v>
      </c>
      <c r="O98" s="18">
        <f>IF(OR(I98="",I98="None"),"",IF(OR(K98="",K98="None"),G98,G98/2))</f>
        <v>1.5</v>
      </c>
      <c r="P98" s="60" t="str">
        <f t="shared" si="15"/>
        <v>TIDAK</v>
      </c>
      <c r="Q98" s="203" t="str">
        <f t="shared" si="8"/>
        <v/>
      </c>
      <c r="R98" s="203" t="str">
        <f t="shared" si="9"/>
        <v/>
      </c>
      <c r="S98" s="203" t="str">
        <f t="shared" si="10"/>
        <v>Enda Esyudha Pratama, S.T., M.T.</v>
      </c>
      <c r="T98" s="203" t="str">
        <f t="shared" si="11"/>
        <v>Niken Candraningrum, S.T., M.Cs.</v>
      </c>
      <c r="U98" s="12">
        <v>1</v>
      </c>
      <c r="V98" s="11" t="str">
        <f t="shared" si="12"/>
        <v/>
      </c>
      <c r="W98" s="165">
        <f t="shared" si="13"/>
        <v>28</v>
      </c>
      <c r="X98" s="24"/>
    </row>
    <row r="99" spans="2:24" ht="45" customHeight="1" thickBot="1" x14ac:dyDescent="0.35">
      <c r="B99" s="24"/>
      <c r="C99" s="68" t="str">
        <f>IF(OR(I99="",I99="None"),"-",IF(OR(K99="",K99="None"),E99&amp;" "&amp;"SEM-"&amp;F99&amp;" "&amp;"SKS-"&amp;G99&amp;" "&amp;H99&amp;" "&amp;J99,E99&amp;" "&amp;"SEM-"&amp;F99&amp;" SKS-"&amp;G99&amp;" "&amp;"S"&amp;H99&amp;" "&amp;H99&amp;" "&amp;J99&amp;"/"&amp;L99))</f>
        <v>Data  Mining   SEM-6 SKS-3 B EE</v>
      </c>
      <c r="D99" s="14" t="str">
        <f>IF(J$97&gt;='TABLE SISTEM'!A$4,'TABLE MK'!I$17,"")</f>
        <v>INF­55201­516</v>
      </c>
      <c r="E99" s="14" t="str">
        <f>IF(D99="","",(VLOOKUP(D99,Table6[[#All],[Kode MK]:[Mata Kuliah Prasayarat]],2,)))</f>
        <v xml:space="preserve">Data  Mining  </v>
      </c>
      <c r="F99" s="15">
        <f>IF(D99="","",(VLOOKUP(D99,Table6[[#All],[Kode MK]:[Mata Kuliah Prasayarat]],3,)))</f>
        <v>6</v>
      </c>
      <c r="G99" s="15">
        <f>IF(D99="","",(VLOOKUP(D99,Table6[[#All],[Kode MK]:[Mata Kuliah Prasayarat]],4,)))</f>
        <v>3</v>
      </c>
      <c r="H99" s="15" t="str">
        <f>IF(D99="","","B")</f>
        <v>B</v>
      </c>
      <c r="I99" s="39" t="s">
        <v>119</v>
      </c>
      <c r="J99" s="17" t="str">
        <f>IF(I99="","",(VLOOKUP(I99,tbDosen[NAMA DOSEN]:tbDosen[[NAMA DOSEN]:[KODE]],2,)))</f>
        <v>EE</v>
      </c>
      <c r="K99" s="44" t="s">
        <v>105</v>
      </c>
      <c r="L99" s="17" t="str">
        <f>IF(K99="","",(VLOOKUP(K99,tbDosen[NAMA DOSEN]:tbDosen[[NAMA DOSEN]:[KODE]],2,)))</f>
        <v>-</v>
      </c>
      <c r="M99" s="16" t="str">
        <f>IF(OR(I99="",I99="None"),"",IF(OR(K99="",K99="None"),I99,I99&amp;" / "&amp;K99))</f>
        <v>Enda Esyudha Pratama, S.T., M.T.</v>
      </c>
      <c r="N99" s="16" t="str">
        <f t="shared" si="14"/>
        <v>EE</v>
      </c>
      <c r="O99" s="18">
        <f>IF(OR(I99="",I99="None"),"",IF(OR(K99="",K99="None"),G99,G99/2))</f>
        <v>3</v>
      </c>
      <c r="P99" s="61" t="str">
        <f t="shared" si="15"/>
        <v>TIDAK</v>
      </c>
      <c r="Q99" s="203" t="str">
        <f t="shared" si="8"/>
        <v/>
      </c>
      <c r="R99" s="203" t="str">
        <f t="shared" si="9"/>
        <v/>
      </c>
      <c r="S99" s="203" t="str">
        <f t="shared" si="10"/>
        <v/>
      </c>
      <c r="T99" s="203" t="str">
        <f t="shared" si="11"/>
        <v/>
      </c>
      <c r="U99" s="12">
        <v>1</v>
      </c>
      <c r="V99" s="11" t="str">
        <f t="shared" si="12"/>
        <v/>
      </c>
      <c r="W99" s="165">
        <f t="shared" si="13"/>
        <v>28</v>
      </c>
      <c r="X99" s="24"/>
    </row>
    <row r="100" spans="2:24" ht="45" customHeight="1" thickBot="1" x14ac:dyDescent="0.35">
      <c r="B100" s="24"/>
      <c r="C100" s="68" t="str">
        <f>IF(OR(I100="",I100="None"),"-",IF(OR(K100="",K100="None"),E100&amp;" "&amp;"SEM-"&amp;F100&amp;" "&amp;"SKS-"&amp;G100&amp;" "&amp;H100&amp;" "&amp;J100,E100&amp;" "&amp;"SEM-"&amp;F100&amp;" SKS-"&amp;G100&amp;" "&amp;"S"&amp;H100&amp;" "&amp;H100&amp;" "&amp;J100&amp;"/"&amp;L100))</f>
        <v>Data  Mining   SEM-6 SKS-3 SC C EE/NC</v>
      </c>
      <c r="D100" s="14" t="str">
        <f>IF(J$97&gt;='TABLE SISTEM'!A$5,'TABLE MK'!I$17,"")</f>
        <v>INF­55201­516</v>
      </c>
      <c r="E100" s="14" t="str">
        <f>IF(D100="","",(VLOOKUP(D100,Table6[[#All],[Kode MK]:[Mata Kuliah Prasayarat]],2,)))</f>
        <v xml:space="preserve">Data  Mining  </v>
      </c>
      <c r="F100" s="15">
        <f>IF(D100="","",(VLOOKUP(D100,Table6[[#All],[Kode MK]:[Mata Kuliah Prasayarat]],3,)))</f>
        <v>6</v>
      </c>
      <c r="G100" s="15">
        <f>IF(D100="","",(VLOOKUP(D100,Table6[[#All],[Kode MK]:[Mata Kuliah Prasayarat]],4,)))</f>
        <v>3</v>
      </c>
      <c r="H100" s="15" t="str">
        <f>IF(D100="","","C")</f>
        <v>C</v>
      </c>
      <c r="I100" s="39" t="s">
        <v>119</v>
      </c>
      <c r="J100" s="17" t="str">
        <f>IF(I100="","",(VLOOKUP(I100,tbDosen[NAMA DOSEN]:tbDosen[[NAMA DOSEN]:[KODE]],2,)))</f>
        <v>EE</v>
      </c>
      <c r="K100" s="21" t="s">
        <v>338</v>
      </c>
      <c r="L100" s="17" t="str">
        <f>IF(K100="","",(VLOOKUP(K100,tbDosen[NAMA DOSEN]:tbDosen[[NAMA DOSEN]:[KODE]],2,)))</f>
        <v>NC</v>
      </c>
      <c r="M100" s="16" t="str">
        <f>IF(OR(I100="",I100="None"),"",IF(OR(K100="",K100="None"),I100,I100&amp;" / "&amp;K100))</f>
        <v>Enda Esyudha Pratama, S.T., M.T. / Niken Candraningrum, S.T., M.Cs.</v>
      </c>
      <c r="N100" s="16" t="str">
        <f t="shared" si="14"/>
        <v>EE / NC</v>
      </c>
      <c r="O100" s="18">
        <f>IF(OR(I100="",I100="None"),"",IF(OR(K100="",K100="None"),G100,G100/2))</f>
        <v>1.5</v>
      </c>
      <c r="P100" s="61" t="str">
        <f t="shared" si="15"/>
        <v>TIDAK</v>
      </c>
      <c r="Q100" s="203" t="str">
        <f t="shared" si="8"/>
        <v/>
      </c>
      <c r="R100" s="203" t="str">
        <f t="shared" si="9"/>
        <v/>
      </c>
      <c r="S100" s="203" t="str">
        <f t="shared" si="10"/>
        <v>Enda Esyudha Pratama, S.T., M.T.</v>
      </c>
      <c r="T100" s="203" t="str">
        <f t="shared" si="11"/>
        <v>Niken Candraningrum, S.T., M.Cs.</v>
      </c>
      <c r="U100" s="12">
        <v>1</v>
      </c>
      <c r="V100" s="11" t="str">
        <f t="shared" si="12"/>
        <v/>
      </c>
      <c r="W100" s="165">
        <f t="shared" si="13"/>
        <v>28</v>
      </c>
      <c r="X100" s="24"/>
    </row>
    <row r="101" spans="2:24" ht="45" customHeight="1" thickBot="1" x14ac:dyDescent="0.35">
      <c r="B101" s="24"/>
      <c r="C101" s="68" t="str">
        <f>IF(OR(I101="",I101="None"),"-",IF(OR(K101="",K101="None"),E101&amp;" "&amp;"SEM-"&amp;F101&amp;" "&amp;"SKS-"&amp;G101&amp;" "&amp;H101&amp;" "&amp;J101,E101&amp;" "&amp;"SEM-"&amp;F101&amp;" SKS-"&amp;G101&amp;" "&amp;"S"&amp;H101&amp;" "&amp;H101&amp;" "&amp;J101&amp;"/"&amp;L101))</f>
        <v>-</v>
      </c>
      <c r="D101" s="14" t="str">
        <f>IF(J$97&gt;='TABLE SISTEM'!A$6,'TABLE MK'!I$17,"")</f>
        <v/>
      </c>
      <c r="E101" s="14" t="str">
        <f>IF(D101="","",(VLOOKUP(D101,Table6[[#All],[Kode MK]:[Mata Kuliah Prasayarat]],2,)))</f>
        <v/>
      </c>
      <c r="F101" s="15" t="str">
        <f>IF(D101="","",(VLOOKUP(D101,Table6[[#All],[Kode MK]:[Mata Kuliah Prasayarat]],3,)))</f>
        <v/>
      </c>
      <c r="G101" s="15" t="str">
        <f>IF(D101="","",(VLOOKUP(D101,Table6[[#All],[Kode MK]:[Mata Kuliah Prasayarat]],4,)))</f>
        <v/>
      </c>
      <c r="H101" s="15" t="str">
        <f>IF(D101="","","D")</f>
        <v/>
      </c>
      <c r="I101" s="44" t="s">
        <v>105</v>
      </c>
      <c r="J101" s="17" t="str">
        <f>IF(I101="","",(VLOOKUP(I101,tbDosen[NAMA DOSEN]:tbDosen[[NAMA DOSEN]:[KODE]],2,)))</f>
        <v>-</v>
      </c>
      <c r="K101" s="44" t="s">
        <v>105</v>
      </c>
      <c r="L101" s="17" t="str">
        <f>IF(K101="","",(VLOOKUP(K101,tbDosen[NAMA DOSEN]:tbDosen[[NAMA DOSEN]:[KODE]],2,)))</f>
        <v>-</v>
      </c>
      <c r="M101" s="16" t="str">
        <f>IF(OR(I101="",I101="None"),"",IF(OR(K101="",K101="None"),I101,I101&amp;" / "&amp;K101))</f>
        <v/>
      </c>
      <c r="N101" s="16" t="str">
        <f t="shared" si="14"/>
        <v/>
      </c>
      <c r="O101" s="18" t="str">
        <f>IF(OR(I101="",I101="None"),"",IF(OR(K101="",K101="None"),G101,G101/2))</f>
        <v/>
      </c>
      <c r="P101" s="61" t="str">
        <f t="shared" si="15"/>
        <v/>
      </c>
      <c r="Q101" s="203" t="str">
        <f t="shared" si="8"/>
        <v/>
      </c>
      <c r="R101" s="203" t="str">
        <f t="shared" si="9"/>
        <v/>
      </c>
      <c r="S101" s="203" t="str">
        <f t="shared" si="10"/>
        <v/>
      </c>
      <c r="T101" s="203" t="str">
        <f t="shared" si="11"/>
        <v/>
      </c>
      <c r="U101" s="12">
        <v>0</v>
      </c>
      <c r="V101" s="11" t="str">
        <f t="shared" si="12"/>
        <v/>
      </c>
      <c r="W101" s="165">
        <f t="shared" si="13"/>
        <v>35</v>
      </c>
      <c r="X101" s="24"/>
    </row>
    <row r="102" spans="2:24" ht="45" customHeight="1" x14ac:dyDescent="0.3">
      <c r="B102" s="24"/>
      <c r="C102" s="68" t="str">
        <f>IF(OR(I102="",I102="None"),"-",IF(OR(K102="",K102="None"),E102&amp;" "&amp;"SEM-"&amp;F102&amp;" "&amp;"SKS-"&amp;G102&amp;" "&amp;H102&amp;" "&amp;J102,E102&amp;" "&amp;"SEM-"&amp;F102&amp;" SKS-"&amp;G102&amp;" "&amp;"S"&amp;H102&amp;" "&amp;H102&amp;" "&amp;J102&amp;"/"&amp;L102))</f>
        <v>-</v>
      </c>
      <c r="D102" s="14" t="str">
        <f>IF(J$97&gt;='TABLE SISTEM'!A$7,'TABLE MK'!I$17,"")</f>
        <v/>
      </c>
      <c r="E102" s="14" t="str">
        <f>IF(D102="","",(VLOOKUP(D102,Table6[[#All],[Kode MK]:[Mata Kuliah Prasayarat]],2,)))</f>
        <v/>
      </c>
      <c r="F102" s="15" t="str">
        <f>IF(D102="","",(VLOOKUP(D102,Table6[[#All],[Kode MK]:[Mata Kuliah Prasayarat]],3,)))</f>
        <v/>
      </c>
      <c r="G102" s="15" t="str">
        <f>IF(D102="","",(VLOOKUP(D102,Table6[[#All],[Kode MK]:[Mata Kuliah Prasayarat]],4,)))</f>
        <v/>
      </c>
      <c r="H102" s="15" t="str">
        <f>IF(D102="","","E")</f>
        <v/>
      </c>
      <c r="I102" s="44" t="s">
        <v>105</v>
      </c>
      <c r="J102" s="17" t="str">
        <f>IF(I102="","",(VLOOKUP(I102,tbDosen[NAMA DOSEN]:tbDosen[[NAMA DOSEN]:[KODE]],2,)))</f>
        <v>-</v>
      </c>
      <c r="K102" s="44" t="s">
        <v>105</v>
      </c>
      <c r="L102" s="17" t="str">
        <f>IF(K102="","",(VLOOKUP(K102,tbDosen[NAMA DOSEN]:tbDosen[[NAMA DOSEN]:[KODE]],2,)))</f>
        <v>-</v>
      </c>
      <c r="M102" s="16" t="str">
        <f>IF(OR(I102="",I102="None"),"",IF(OR(K102="",K102="None"),I102,I102&amp;" / "&amp;K102))</f>
        <v/>
      </c>
      <c r="N102" s="16" t="str">
        <f t="shared" si="14"/>
        <v/>
      </c>
      <c r="O102" s="18" t="str">
        <f>IF(OR(I102="",I102="None"),"",IF(OR(K102="",K102="None"),G102,G102/2))</f>
        <v/>
      </c>
      <c r="P102" s="62" t="str">
        <f t="shared" si="15"/>
        <v/>
      </c>
      <c r="Q102" s="203" t="str">
        <f t="shared" si="8"/>
        <v/>
      </c>
      <c r="R102" s="203" t="str">
        <f t="shared" si="9"/>
        <v/>
      </c>
      <c r="S102" s="203" t="str">
        <f t="shared" si="10"/>
        <v/>
      </c>
      <c r="T102" s="203" t="str">
        <f t="shared" si="11"/>
        <v/>
      </c>
      <c r="U102" s="12">
        <v>0</v>
      </c>
      <c r="V102" s="11" t="str">
        <f t="shared" si="12"/>
        <v/>
      </c>
      <c r="W102" s="165">
        <f t="shared" si="13"/>
        <v>35</v>
      </c>
      <c r="X102" s="24"/>
    </row>
    <row r="103" spans="2:24" ht="45" customHeight="1" thickBot="1" x14ac:dyDescent="0.35">
      <c r="B103" s="24"/>
      <c r="C103" s="67"/>
      <c r="D103" s="41" t="s">
        <v>157</v>
      </c>
      <c r="E103" s="256" t="str">
        <f>'TABLE MK'!J18</f>
        <v>Keamanan  Informasi  dan  Jaringan*</v>
      </c>
      <c r="F103" s="256"/>
      <c r="G103" s="256"/>
      <c r="H103" s="256"/>
      <c r="I103" s="41" t="s">
        <v>95</v>
      </c>
      <c r="J103" s="40">
        <v>4</v>
      </c>
      <c r="K103" s="42"/>
      <c r="L103" s="43"/>
      <c r="M103" s="43" t="s">
        <v>161</v>
      </c>
      <c r="N103" s="45"/>
      <c r="O103" s="42"/>
      <c r="P103" s="63"/>
      <c r="Q103" s="203" t="str">
        <f t="shared" si="8"/>
        <v/>
      </c>
      <c r="R103" s="203" t="str">
        <f t="shared" si="9"/>
        <v/>
      </c>
      <c r="S103" s="203" t="str">
        <f t="shared" si="10"/>
        <v>Jumlah Kelas</v>
      </c>
      <c r="T103" s="203">
        <f t="shared" si="11"/>
        <v>0</v>
      </c>
      <c r="U103" s="12">
        <v>0</v>
      </c>
      <c r="V103" s="11" t="str">
        <f t="shared" si="12"/>
        <v/>
      </c>
      <c r="W103" s="165">
        <f t="shared" si="13"/>
        <v>35</v>
      </c>
      <c r="X103" s="24"/>
    </row>
    <row r="104" spans="2:24" ht="45" customHeight="1" thickBot="1" x14ac:dyDescent="0.35">
      <c r="B104" s="24"/>
      <c r="C104" s="68" t="str">
        <f>IF(OR(I104="",I104="None"),"-",IF(OR(K104="",K104="None"),E104&amp;" "&amp;"SEM-"&amp;F104&amp;" "&amp;"SKS-"&amp;G104&amp;" "&amp;H104&amp;" "&amp;J104,E104&amp;" "&amp;"SEM-"&amp;F104&amp;" SKS-"&amp;G104&amp;" "&amp;"S"&amp;H104&amp;" "&amp;H104&amp;" "&amp;J104&amp;"/"&amp;L104))</f>
        <v>Keamanan  Informasi  dan  Jaringan* SEM-6 SKS-3 SA A AI/AAJ</v>
      </c>
      <c r="D104" t="str">
        <f>IF(J$103&gt;='TABLE SISTEM'!A$3,'TABLE MK'!I$18,"")</f>
        <v xml:space="preserve"> INF-55201-309</v>
      </c>
      <c r="E104" s="14" t="str">
        <f>IF(D104="","",(VLOOKUP(D104,Table6[[#All],[Kode MK]:[Mata Kuliah Prasayarat]],2,)))</f>
        <v>Keamanan  Informasi  dan  Jaringan*</v>
      </c>
      <c r="F104" s="15">
        <f>IF(D104="","",(VLOOKUP(D104,Table6[[#All],[Kode MK]:[Mata Kuliah Prasayarat]],3,)))</f>
        <v>6</v>
      </c>
      <c r="G104" s="15">
        <f>IF(D104="","",(VLOOKUP(D104,Table6[[#All],[Kode MK]:[Mata Kuliah Prasayarat]],4,)))</f>
        <v>3</v>
      </c>
      <c r="H104" s="15" t="str">
        <f>IF(D104="","","A")</f>
        <v>A</v>
      </c>
      <c r="I104" s="21" t="s">
        <v>134</v>
      </c>
      <c r="J104" s="17" t="str">
        <f>IF(I104="","",(VLOOKUP(I104,tbDosen[NAMA DOSEN]:tbDosen[[NAMA DOSEN]:[KODE]],2,)))</f>
        <v>AI</v>
      </c>
      <c r="K104" s="39" t="s">
        <v>334</v>
      </c>
      <c r="L104" s="17" t="str">
        <f>IF(K104="","",(VLOOKUP(K104,tbDosen[NAMA DOSEN]:tbDosen[[NAMA DOSEN]:[KODE]],2,)))</f>
        <v>AAJ</v>
      </c>
      <c r="M104" s="16" t="str">
        <f>IF(OR(I104="",I104="None"),"",IF(OR(K104="",K104="None"),I104,I104&amp;" / "&amp;K104))</f>
        <v>M.Azhar Irwansyah, S.T.,M.Eng. / Alfian Abdul Jalid, S.Kom., M.Cs.</v>
      </c>
      <c r="N104" s="16" t="str">
        <f t="shared" si="14"/>
        <v>AI / AAJ</v>
      </c>
      <c r="O104" s="18">
        <f>IF(OR(I104="",I104="None"),"",IF(OR(K104="",K104="None"),G104,G104/2))</f>
        <v>1.5</v>
      </c>
      <c r="P104" s="60" t="str">
        <f t="shared" si="15"/>
        <v>TIDAK</v>
      </c>
      <c r="Q104" s="203" t="str">
        <f t="shared" si="8"/>
        <v/>
      </c>
      <c r="R104" s="203" t="str">
        <f t="shared" si="9"/>
        <v/>
      </c>
      <c r="S104" s="203" t="str">
        <f t="shared" si="10"/>
        <v>M.Azhar Irwansyah, S.T.,M.Eng.</v>
      </c>
      <c r="T104" s="203" t="str">
        <f t="shared" si="11"/>
        <v>Alfian Abdul Jalid, S.Kom., M.Cs.</v>
      </c>
      <c r="U104" s="12">
        <v>1</v>
      </c>
      <c r="V104" s="11" t="str">
        <f t="shared" si="12"/>
        <v/>
      </c>
      <c r="W104" s="165">
        <f t="shared" si="13"/>
        <v>28</v>
      </c>
      <c r="X104" s="24"/>
    </row>
    <row r="105" spans="2:24" ht="45" customHeight="1" thickBot="1" x14ac:dyDescent="0.35">
      <c r="B105" s="24"/>
      <c r="C105" s="68" t="str">
        <f>IF(OR(I105="",I105="None"),"-",IF(OR(K105="",K105="None"),E105&amp;" "&amp;"SEM-"&amp;F105&amp;" "&amp;"SKS-"&amp;G105&amp;" "&amp;H105&amp;" "&amp;J105,E105&amp;" "&amp;"SEM-"&amp;F105&amp;" SKS-"&amp;G105&amp;" "&amp;"S"&amp;H105&amp;" "&amp;H105&amp;" "&amp;J105&amp;"/"&amp;L105))</f>
        <v>Keamanan  Informasi  dan  Jaringan* SEM-6 SKS-3 SB B HN/AAJ</v>
      </c>
      <c r="D105" t="str">
        <f>IF(J$103&gt;='TABLE SISTEM'!A$4,'TABLE MK'!I$18,"")</f>
        <v xml:space="preserve"> INF-55201-309</v>
      </c>
      <c r="E105" s="14" t="str">
        <f>IF(D105="","",(VLOOKUP(D105,Table6[[#All],[Kode MK]:[Mata Kuliah Prasayarat]],2,)))</f>
        <v>Keamanan  Informasi  dan  Jaringan*</v>
      </c>
      <c r="F105" s="15">
        <f>IF(D105="","",(VLOOKUP(D105,Table6[[#All],[Kode MK]:[Mata Kuliah Prasayarat]],3,)))</f>
        <v>6</v>
      </c>
      <c r="G105" s="15">
        <f>IF(D105="","",(VLOOKUP(D105,Table6[[#All],[Kode MK]:[Mata Kuliah Prasayarat]],4,)))</f>
        <v>3</v>
      </c>
      <c r="H105" s="15" t="str">
        <f>IF(D105="","","B")</f>
        <v>B</v>
      </c>
      <c r="I105" s="21" t="s">
        <v>396</v>
      </c>
      <c r="J105" s="17" t="str">
        <f>IF(I105="","",(VLOOKUP(I105,tbDosen[NAMA DOSEN]:tbDosen[[NAMA DOSEN]:[KODE]],2,)))</f>
        <v>HN</v>
      </c>
      <c r="K105" s="39" t="s">
        <v>334</v>
      </c>
      <c r="L105" s="17" t="str">
        <f>IF(K105="","",(VLOOKUP(K105,tbDosen[NAMA DOSEN]:tbDosen[[NAMA DOSEN]:[KODE]],2,)))</f>
        <v>AAJ</v>
      </c>
      <c r="M105" s="16" t="str">
        <f>IF(OR(I105="",I105="None"),"",IF(OR(K105="",K105="None"),I105,I105&amp;" / "&amp;K105))</f>
        <v>Haried Novriando, S.Kom, M.Eng / Alfian Abdul Jalid, S.Kom., M.Cs.</v>
      </c>
      <c r="N105" s="16" t="str">
        <f t="shared" si="14"/>
        <v>HN / AAJ</v>
      </c>
      <c r="O105" s="18">
        <f>IF(OR(I105="",I105="None"),"",IF(OR(K105="",K105="None"),G105,G105/2))</f>
        <v>1.5</v>
      </c>
      <c r="P105" s="61" t="str">
        <f t="shared" si="15"/>
        <v>TIDAK</v>
      </c>
      <c r="Q105" s="203" t="str">
        <f t="shared" si="8"/>
        <v/>
      </c>
      <c r="R105" s="203" t="str">
        <f t="shared" si="9"/>
        <v/>
      </c>
      <c r="S105" s="203" t="str">
        <f t="shared" si="10"/>
        <v>Haried Novriando, S.Kom, M.Eng</v>
      </c>
      <c r="T105" s="203" t="str">
        <f t="shared" si="11"/>
        <v>Alfian Abdul Jalid, S.Kom., M.Cs.</v>
      </c>
      <c r="U105" s="12">
        <v>1</v>
      </c>
      <c r="V105" s="11" t="str">
        <f t="shared" si="12"/>
        <v/>
      </c>
      <c r="W105" s="165">
        <f t="shared" si="13"/>
        <v>28</v>
      </c>
      <c r="X105" s="24"/>
    </row>
    <row r="106" spans="2:24" ht="45" customHeight="1" thickBot="1" x14ac:dyDescent="0.35">
      <c r="B106" s="24"/>
      <c r="C106" s="68" t="str">
        <f>IF(OR(I106="",I106="None"),"-",IF(OR(K106="",K106="None"),E106&amp;" "&amp;"SEM-"&amp;F106&amp;" "&amp;"SKS-"&amp;G106&amp;" "&amp;H106&amp;" "&amp;J106,E106&amp;" "&amp;"SEM-"&amp;F106&amp;" SKS-"&amp;G106&amp;" "&amp;"S"&amp;H106&amp;" "&amp;H106&amp;" "&amp;J106&amp;"/"&amp;L106))</f>
        <v>Keamanan  Informasi  dan  Jaringan* SEM-6 SKS-3 SC C AI/AAJ</v>
      </c>
      <c r="D106" t="str">
        <f>IF(J$103&gt;='TABLE SISTEM'!A$5,'TABLE MK'!I$18,"")</f>
        <v xml:space="preserve"> INF-55201-309</v>
      </c>
      <c r="E106" s="14" t="str">
        <f>IF(D106="","",(VLOOKUP(D106,Table6[[#All],[Kode MK]:[Mata Kuliah Prasayarat]],2,)))</f>
        <v>Keamanan  Informasi  dan  Jaringan*</v>
      </c>
      <c r="F106" s="15">
        <f>IF(D106="","",(VLOOKUP(D106,Table6[[#All],[Kode MK]:[Mata Kuliah Prasayarat]],3,)))</f>
        <v>6</v>
      </c>
      <c r="G106" s="15">
        <f>IF(D106="","",(VLOOKUP(D106,Table6[[#All],[Kode MK]:[Mata Kuliah Prasayarat]],4,)))</f>
        <v>3</v>
      </c>
      <c r="H106" s="15" t="str">
        <f>IF(D106="","","C")</f>
        <v>C</v>
      </c>
      <c r="I106" s="21" t="s">
        <v>134</v>
      </c>
      <c r="J106" s="17" t="str">
        <f>IF(I106="","",(VLOOKUP(I106,tbDosen[NAMA DOSEN]:tbDosen[[NAMA DOSEN]:[KODE]],2,)))</f>
        <v>AI</v>
      </c>
      <c r="K106" s="39" t="s">
        <v>334</v>
      </c>
      <c r="L106" s="17" t="str">
        <f>IF(K106="","",(VLOOKUP(K106,tbDosen[NAMA DOSEN]:tbDosen[[NAMA DOSEN]:[KODE]],2,)))</f>
        <v>AAJ</v>
      </c>
      <c r="M106" s="16" t="str">
        <f>IF(OR(I106="",I106="None"),"",IF(OR(K106="",K106="None"),I106,I106&amp;" / "&amp;K106))</f>
        <v>M.Azhar Irwansyah, S.T.,M.Eng. / Alfian Abdul Jalid, S.Kom., M.Cs.</v>
      </c>
      <c r="N106" s="16" t="str">
        <f t="shared" si="14"/>
        <v>AI / AAJ</v>
      </c>
      <c r="O106" s="18">
        <f>IF(OR(I106="",I106="None"),"",IF(OR(K106="",K106="None"),G106,G106/2))</f>
        <v>1.5</v>
      </c>
      <c r="P106" s="61" t="str">
        <f t="shared" si="15"/>
        <v>TIDAK</v>
      </c>
      <c r="Q106" s="203" t="str">
        <f t="shared" si="8"/>
        <v/>
      </c>
      <c r="R106" s="203" t="str">
        <f t="shared" si="9"/>
        <v/>
      </c>
      <c r="S106" s="203" t="str">
        <f t="shared" si="10"/>
        <v>M.Azhar Irwansyah, S.T.,M.Eng.</v>
      </c>
      <c r="T106" s="203" t="str">
        <f t="shared" si="11"/>
        <v>Alfian Abdul Jalid, S.Kom., M.Cs.</v>
      </c>
      <c r="U106" s="12">
        <v>1</v>
      </c>
      <c r="V106" s="11" t="str">
        <f t="shared" si="12"/>
        <v/>
      </c>
      <c r="W106" s="165">
        <f t="shared" si="13"/>
        <v>28</v>
      </c>
      <c r="X106" s="24"/>
    </row>
    <row r="107" spans="2:24" ht="45" customHeight="1" thickBot="1" x14ac:dyDescent="0.35">
      <c r="B107" s="24"/>
      <c r="C107" s="68" t="str">
        <f>IF(OR(I107="",I107="None"),"-",IF(OR(K107="",K107="None"),E107&amp;" "&amp;"SEM-"&amp;F107&amp;" "&amp;"SKS-"&amp;G107&amp;" "&amp;H107&amp;" "&amp;J107,E107&amp;" "&amp;"SEM-"&amp;F107&amp;" SKS-"&amp;G107&amp;" "&amp;"S"&amp;H107&amp;" "&amp;H107&amp;" "&amp;J107&amp;"/"&amp;L107))</f>
        <v>Keamanan  Informasi  dan  Jaringan* SEM-6 SKS-3 SD D HN/AAJ</v>
      </c>
      <c r="D107" t="str">
        <f>IF(J$103&gt;='TABLE SISTEM'!A$6,'TABLE MK'!I$18,"")</f>
        <v xml:space="preserve"> INF-55201-309</v>
      </c>
      <c r="E107" s="14" t="str">
        <f>IF(D107="","",(VLOOKUP(D107,Table6[[#All],[Kode MK]:[Mata Kuliah Prasayarat]],2,)))</f>
        <v>Keamanan  Informasi  dan  Jaringan*</v>
      </c>
      <c r="F107" s="15">
        <f>IF(D107="","",(VLOOKUP(D107,Table6[[#All],[Kode MK]:[Mata Kuliah Prasayarat]],3,)))</f>
        <v>6</v>
      </c>
      <c r="G107" s="15">
        <f>IF(D107="","",(VLOOKUP(D107,Table6[[#All],[Kode MK]:[Mata Kuliah Prasayarat]],4,)))</f>
        <v>3</v>
      </c>
      <c r="H107" s="15" t="str">
        <f>IF(D107="","","D")</f>
        <v>D</v>
      </c>
      <c r="I107" s="21" t="s">
        <v>396</v>
      </c>
      <c r="J107" s="17" t="str">
        <f>IF(I107="","",(VLOOKUP(I107,tbDosen[NAMA DOSEN]:tbDosen[[NAMA DOSEN]:[KODE]],2,)))</f>
        <v>HN</v>
      </c>
      <c r="K107" s="39" t="s">
        <v>334</v>
      </c>
      <c r="L107" s="17" t="str">
        <f>IF(K107="","",(VLOOKUP(K107,tbDosen[NAMA DOSEN]:tbDosen[[NAMA DOSEN]:[KODE]],2,)))</f>
        <v>AAJ</v>
      </c>
      <c r="M107" s="16" t="str">
        <f>IF(OR(I107="",I107="None"),"",IF(OR(K107="",K107="None"),I107,I107&amp;" / "&amp;K107))</f>
        <v>Haried Novriando, S.Kom, M.Eng / Alfian Abdul Jalid, S.Kom., M.Cs.</v>
      </c>
      <c r="N107" s="16" t="str">
        <f t="shared" si="14"/>
        <v>HN / AAJ</v>
      </c>
      <c r="O107" s="18">
        <f>IF(OR(I107="",I107="None"),"",IF(OR(K107="",K107="None"),G107,G107/2))</f>
        <v>1.5</v>
      </c>
      <c r="P107" s="61" t="str">
        <f t="shared" si="15"/>
        <v>TIDAK</v>
      </c>
      <c r="Q107" s="203" t="str">
        <f t="shared" si="8"/>
        <v/>
      </c>
      <c r="R107" s="203" t="str">
        <f t="shared" si="9"/>
        <v/>
      </c>
      <c r="S107" s="203" t="str">
        <f t="shared" si="10"/>
        <v>Haried Novriando, S.Kom, M.Eng</v>
      </c>
      <c r="T107" s="203" t="str">
        <f t="shared" si="11"/>
        <v>Alfian Abdul Jalid, S.Kom., M.Cs.</v>
      </c>
      <c r="U107" s="12">
        <v>1</v>
      </c>
      <c r="V107" s="11" t="str">
        <f t="shared" si="12"/>
        <v/>
      </c>
      <c r="W107" s="165">
        <f t="shared" si="13"/>
        <v>28</v>
      </c>
      <c r="X107" s="24"/>
    </row>
    <row r="108" spans="2:24" ht="45" customHeight="1" x14ac:dyDescent="0.3">
      <c r="B108" s="24"/>
      <c r="C108" s="68" t="str">
        <f>IF(OR(I108="",I108="None"),"-",IF(OR(K108="",K108="None"),E108&amp;" "&amp;"SEM-"&amp;F108&amp;" "&amp;"SKS-"&amp;G108&amp;" "&amp;H108&amp;" "&amp;J108,E108&amp;" "&amp;"SEM-"&amp;F108&amp;" SKS-"&amp;G108&amp;" "&amp;"S"&amp;H108&amp;" "&amp;H108&amp;" "&amp;J108&amp;"/"&amp;L108))</f>
        <v>-</v>
      </c>
      <c r="D108" t="str">
        <f>IF(J$103&gt;='TABLE SISTEM'!A$7,'TABLE MK'!I$18,"")</f>
        <v/>
      </c>
      <c r="E108" s="14" t="str">
        <f>IF(D108="","",(VLOOKUP(D108,Table6[[#All],[Kode MK]:[Mata Kuliah Prasayarat]],2,)))</f>
        <v/>
      </c>
      <c r="F108" s="15" t="str">
        <f>IF(D108="","",(VLOOKUP(D108,Table6[[#All],[Kode MK]:[Mata Kuliah Prasayarat]],3,)))</f>
        <v/>
      </c>
      <c r="G108" s="15" t="str">
        <f>IF(D108="","",(VLOOKUP(D108,Table6[[#All],[Kode MK]:[Mata Kuliah Prasayarat]],4,)))</f>
        <v/>
      </c>
      <c r="H108" s="15" t="str">
        <f>IF(D108="","","E")</f>
        <v/>
      </c>
      <c r="I108" s="44" t="s">
        <v>105</v>
      </c>
      <c r="J108" s="17" t="str">
        <f>IF(I108="","",(VLOOKUP(I108,tbDosen[NAMA DOSEN]:tbDosen[[NAMA DOSEN]:[KODE]],2,)))</f>
        <v>-</v>
      </c>
      <c r="K108" s="44" t="s">
        <v>105</v>
      </c>
      <c r="L108" s="17" t="str">
        <f>IF(K108="","",(VLOOKUP(K108,tbDosen[NAMA DOSEN]:tbDosen[[NAMA DOSEN]:[KODE]],2,)))</f>
        <v>-</v>
      </c>
      <c r="M108" s="16" t="str">
        <f>IF(OR(I108="",I108="None"),"",IF(OR(K108="",K108="None"),I108,I108&amp;" / "&amp;K108))</f>
        <v/>
      </c>
      <c r="N108" s="16" t="str">
        <f t="shared" si="14"/>
        <v/>
      </c>
      <c r="O108" s="18" t="str">
        <f>IF(OR(I108="",I108="None"),"",IF(OR(K108="",K108="None"),G108,G108/2))</f>
        <v/>
      </c>
      <c r="P108" s="62" t="str">
        <f t="shared" si="15"/>
        <v/>
      </c>
      <c r="Q108" s="203" t="str">
        <f t="shared" si="8"/>
        <v/>
      </c>
      <c r="R108" s="203" t="str">
        <f t="shared" si="9"/>
        <v/>
      </c>
      <c r="S108" s="203" t="str">
        <f t="shared" si="10"/>
        <v/>
      </c>
      <c r="T108" s="203" t="str">
        <f t="shared" si="11"/>
        <v/>
      </c>
      <c r="U108" s="12">
        <v>0</v>
      </c>
      <c r="V108" s="11" t="str">
        <f t="shared" si="12"/>
        <v/>
      </c>
      <c r="W108" s="165">
        <f t="shared" si="13"/>
        <v>35</v>
      </c>
      <c r="X108" s="24"/>
    </row>
    <row r="109" spans="2:24" ht="45" customHeight="1" thickBot="1" x14ac:dyDescent="0.35">
      <c r="B109" s="24"/>
      <c r="C109" s="67"/>
      <c r="D109" s="41" t="s">
        <v>157</v>
      </c>
      <c r="E109" s="256" t="str">
        <f>'TABLE MK'!J19</f>
        <v>Sosio dan Etika Profesi</v>
      </c>
      <c r="F109" s="256"/>
      <c r="G109" s="256"/>
      <c r="H109" s="256"/>
      <c r="I109" s="41" t="s">
        <v>95</v>
      </c>
      <c r="J109" s="40">
        <v>4</v>
      </c>
      <c r="K109" s="42"/>
      <c r="L109" s="43"/>
      <c r="M109" s="43" t="s">
        <v>161</v>
      </c>
      <c r="N109" s="45"/>
      <c r="O109" s="42"/>
      <c r="P109" s="63"/>
      <c r="Q109" s="203" t="str">
        <f t="shared" si="8"/>
        <v/>
      </c>
      <c r="R109" s="203" t="str">
        <f t="shared" si="9"/>
        <v/>
      </c>
      <c r="S109" s="203" t="str">
        <f t="shared" si="10"/>
        <v>Jumlah Kelas</v>
      </c>
      <c r="T109" s="203">
        <f t="shared" si="11"/>
        <v>0</v>
      </c>
      <c r="U109" s="12">
        <v>0</v>
      </c>
      <c r="V109" s="11" t="str">
        <f t="shared" si="12"/>
        <v/>
      </c>
      <c r="W109" s="165">
        <f t="shared" si="13"/>
        <v>35</v>
      </c>
      <c r="X109" s="24"/>
    </row>
    <row r="110" spans="2:24" ht="45" customHeight="1" thickBot="1" x14ac:dyDescent="0.35">
      <c r="B110" s="24"/>
      <c r="C110" s="68" t="str">
        <f>IF(OR(I110="",I110="None"),"-",IF(OR(K110="",K110="None"),E110&amp;" "&amp;"SEM-"&amp;F110&amp;" "&amp;"SKS-"&amp;G110&amp;" "&amp;H110&amp;" "&amp;J110,E110&amp;" "&amp;"SEM-"&amp;F110&amp;" SKS-"&amp;G110&amp;" "&amp;"S"&amp;H110&amp;" "&amp;H110&amp;" "&amp;J110&amp;"/"&amp;L110))</f>
        <v>Sosio dan Etika Profesi SEM-6 SKS-2 A HM</v>
      </c>
      <c r="D110" s="14" t="str">
        <f>IF(J$109&gt;='TABLE SISTEM'!A$3,'TABLE MK'!I$19,"")</f>
        <v xml:space="preserve"> INF-55201-312</v>
      </c>
      <c r="E110" s="14" t="str">
        <f>IF(D110="","",(VLOOKUP(D110,Table6[[#All],[Kode MK]:[Mata Kuliah Prasayarat]],2,)))</f>
        <v>Sosio dan Etika Profesi</v>
      </c>
      <c r="F110" s="15">
        <f>IF(D110="","",(VLOOKUP(D110,Table6[[#All],[Kode MK]:[Mata Kuliah Prasayarat]],3,)))</f>
        <v>6</v>
      </c>
      <c r="G110" s="15">
        <f>IF(D110="","",(VLOOKUP(D110,Table6[[#All],[Kode MK]:[Mata Kuliah Prasayarat]],4,)))</f>
        <v>2</v>
      </c>
      <c r="H110" s="15" t="str">
        <f>IF(D110="","","A")</f>
        <v>A</v>
      </c>
      <c r="I110" s="21" t="s">
        <v>125</v>
      </c>
      <c r="J110" s="17" t="str">
        <f>IF(I110="","",(VLOOKUP(I110,tbDosen[NAMA DOSEN]:tbDosen[[NAMA DOSEN]:[KODE]],2,)))</f>
        <v>HM</v>
      </c>
      <c r="K110" s="44" t="s">
        <v>105</v>
      </c>
      <c r="L110" s="17" t="str">
        <f>IF(K110="","",(VLOOKUP(K110,tbDosen[NAMA DOSEN]:tbDosen[[NAMA DOSEN]:[KODE]],2,)))</f>
        <v>-</v>
      </c>
      <c r="M110" s="16" t="str">
        <f>IF(OR(I110="",I110="None"),"",IF(OR(K110="",K110="None"),I110,I110&amp;" / "&amp;K110))</f>
        <v>Hafiz Muhardi, S.T., M.Kom</v>
      </c>
      <c r="N110" s="16" t="str">
        <f t="shared" si="14"/>
        <v>HM</v>
      </c>
      <c r="O110" s="18">
        <f>IF(OR(I110="",I110="None"),"",IF(OR(K110="",K110="None"),G110,G110/2))</f>
        <v>2</v>
      </c>
      <c r="P110" s="60" t="str">
        <f t="shared" si="15"/>
        <v>TIDAK</v>
      </c>
      <c r="Q110" s="203" t="str">
        <f t="shared" si="8"/>
        <v/>
      </c>
      <c r="R110" s="203" t="str">
        <f t="shared" si="9"/>
        <v/>
      </c>
      <c r="S110" s="203" t="str">
        <f t="shared" si="10"/>
        <v/>
      </c>
      <c r="T110" s="203" t="str">
        <f t="shared" si="11"/>
        <v/>
      </c>
      <c r="U110" s="12">
        <v>1</v>
      </c>
      <c r="V110" s="11" t="str">
        <f t="shared" si="12"/>
        <v/>
      </c>
      <c r="W110" s="165">
        <f t="shared" si="13"/>
        <v>28</v>
      </c>
      <c r="X110" s="24"/>
    </row>
    <row r="111" spans="2:24" ht="45" customHeight="1" thickBot="1" x14ac:dyDescent="0.35">
      <c r="B111" s="24"/>
      <c r="C111" s="68" t="str">
        <f>IF(OR(I111="",I111="None"),"-",IF(OR(K111="",K111="None"),E111&amp;" "&amp;"SEM-"&amp;F111&amp;" "&amp;"SKS-"&amp;G111&amp;" "&amp;H111&amp;" "&amp;J111,E111&amp;" "&amp;"SEM-"&amp;F111&amp;" SKS-"&amp;G111&amp;" "&amp;"S"&amp;H111&amp;" "&amp;H111&amp;" "&amp;J111&amp;"/"&amp;L111))</f>
        <v>Sosio dan Etika Profesi SEM-6 SKS-2 B HM</v>
      </c>
      <c r="D111" s="14" t="str">
        <f>IF(J$109&gt;='TABLE SISTEM'!A$4,'TABLE MK'!I$19,"")</f>
        <v xml:space="preserve"> INF-55201-312</v>
      </c>
      <c r="E111" s="14" t="str">
        <f>IF(D111="","",(VLOOKUP(D111,Table6[[#All],[Kode MK]:[Mata Kuliah Prasayarat]],2,)))</f>
        <v>Sosio dan Etika Profesi</v>
      </c>
      <c r="F111" s="15">
        <f>IF(D111="","",(VLOOKUP(D111,Table6[[#All],[Kode MK]:[Mata Kuliah Prasayarat]],3,)))</f>
        <v>6</v>
      </c>
      <c r="G111" s="15">
        <f>IF(D111="","",(VLOOKUP(D111,Table6[[#All],[Kode MK]:[Mata Kuliah Prasayarat]],4,)))</f>
        <v>2</v>
      </c>
      <c r="H111" s="15" t="str">
        <f>IF(D111="","","B")</f>
        <v>B</v>
      </c>
      <c r="I111" s="21" t="s">
        <v>125</v>
      </c>
      <c r="J111" s="17" t="str">
        <f>IF(I111="","",(VLOOKUP(I111,tbDosen[NAMA DOSEN]:tbDosen[[NAMA DOSEN]:[KODE]],2,)))</f>
        <v>HM</v>
      </c>
      <c r="K111" s="44" t="s">
        <v>105</v>
      </c>
      <c r="L111" s="17" t="str">
        <f>IF(K111="","",(VLOOKUP(K111,tbDosen[NAMA DOSEN]:tbDosen[[NAMA DOSEN]:[KODE]],2,)))</f>
        <v>-</v>
      </c>
      <c r="M111" s="16" t="str">
        <f>IF(OR(I111="",I111="None"),"",IF(OR(K111="",K111="None"),I111,I111&amp;" / "&amp;K111))</f>
        <v>Hafiz Muhardi, S.T., M.Kom</v>
      </c>
      <c r="N111" s="16" t="str">
        <f t="shared" si="14"/>
        <v>HM</v>
      </c>
      <c r="O111" s="18">
        <f>IF(OR(I111="",I111="None"),"",IF(OR(K111="",K111="None"),G111,G111/2))</f>
        <v>2</v>
      </c>
      <c r="P111" s="61" t="str">
        <f t="shared" si="15"/>
        <v>TIDAK</v>
      </c>
      <c r="Q111" s="203" t="str">
        <f t="shared" si="8"/>
        <v/>
      </c>
      <c r="R111" s="203" t="str">
        <f t="shared" si="9"/>
        <v/>
      </c>
      <c r="S111" s="203" t="str">
        <f t="shared" si="10"/>
        <v/>
      </c>
      <c r="T111" s="203" t="str">
        <f t="shared" si="11"/>
        <v/>
      </c>
      <c r="U111" s="12">
        <v>1</v>
      </c>
      <c r="V111" s="11" t="str">
        <f t="shared" si="12"/>
        <v/>
      </c>
      <c r="W111" s="165">
        <f t="shared" si="13"/>
        <v>28</v>
      </c>
      <c r="X111" s="24"/>
    </row>
    <row r="112" spans="2:24" ht="45" customHeight="1" thickBot="1" x14ac:dyDescent="0.35">
      <c r="B112" s="24"/>
      <c r="C112" s="68" t="str">
        <f>IF(OR(I112="",I112="None"),"-",IF(OR(K112="",K112="None"),E112&amp;" "&amp;"SEM-"&amp;F112&amp;" "&amp;"SKS-"&amp;G112&amp;" "&amp;H112&amp;" "&amp;J112,E112&amp;" "&amp;"SEM-"&amp;F112&amp;" SKS-"&amp;G112&amp;" "&amp;"S"&amp;H112&amp;" "&amp;H112&amp;" "&amp;J112&amp;"/"&amp;L112))</f>
        <v>Sosio dan Etika Profesi SEM-6 SKS-2 C HM</v>
      </c>
      <c r="D112" s="14" t="str">
        <f>IF(J$109&gt;='TABLE SISTEM'!A$5,'TABLE MK'!I$19,"")</f>
        <v xml:space="preserve"> INF-55201-312</v>
      </c>
      <c r="E112" s="14" t="str">
        <f>IF(D112="","",(VLOOKUP(D112,Table6[[#All],[Kode MK]:[Mata Kuliah Prasayarat]],2,)))</f>
        <v>Sosio dan Etika Profesi</v>
      </c>
      <c r="F112" s="15">
        <f>IF(D112="","",(VLOOKUP(D112,Table6[[#All],[Kode MK]:[Mata Kuliah Prasayarat]],3,)))</f>
        <v>6</v>
      </c>
      <c r="G112" s="15">
        <f>IF(D112="","",(VLOOKUP(D112,Table6[[#All],[Kode MK]:[Mata Kuliah Prasayarat]],4,)))</f>
        <v>2</v>
      </c>
      <c r="H112" s="15" t="str">
        <f>IF(D112="","","C")</f>
        <v>C</v>
      </c>
      <c r="I112" s="21" t="s">
        <v>125</v>
      </c>
      <c r="J112" s="17" t="str">
        <f>IF(I112="","",(VLOOKUP(I112,tbDosen[NAMA DOSEN]:tbDosen[[NAMA DOSEN]:[KODE]],2,)))</f>
        <v>HM</v>
      </c>
      <c r="K112" s="44" t="s">
        <v>105</v>
      </c>
      <c r="L112" s="17" t="str">
        <f>IF(K112="","",(VLOOKUP(K112,tbDosen[NAMA DOSEN]:tbDosen[[NAMA DOSEN]:[KODE]],2,)))</f>
        <v>-</v>
      </c>
      <c r="M112" s="16" t="str">
        <f>IF(OR(I112="",I112="None"),"",IF(OR(K112="",K112="None"),I112,I112&amp;" / "&amp;K112))</f>
        <v>Hafiz Muhardi, S.T., M.Kom</v>
      </c>
      <c r="N112" s="16" t="str">
        <f t="shared" si="14"/>
        <v>HM</v>
      </c>
      <c r="O112" s="18">
        <f>IF(OR(I112="",I112="None"),"",IF(OR(K112="",K112="None"),G112,G112/2))</f>
        <v>2</v>
      </c>
      <c r="P112" s="61" t="str">
        <f t="shared" si="15"/>
        <v>TIDAK</v>
      </c>
      <c r="Q112" s="203" t="str">
        <f t="shared" si="8"/>
        <v/>
      </c>
      <c r="R112" s="203" t="str">
        <f t="shared" si="9"/>
        <v/>
      </c>
      <c r="S112" s="203" t="str">
        <f t="shared" si="10"/>
        <v/>
      </c>
      <c r="T112" s="203" t="str">
        <f t="shared" si="11"/>
        <v/>
      </c>
      <c r="U112" s="12">
        <v>1</v>
      </c>
      <c r="V112" s="11" t="str">
        <f t="shared" si="12"/>
        <v/>
      </c>
      <c r="W112" s="165">
        <f t="shared" si="13"/>
        <v>28</v>
      </c>
      <c r="X112" s="24"/>
    </row>
    <row r="113" spans="2:24" ht="45" customHeight="1" thickBot="1" x14ac:dyDescent="0.35">
      <c r="B113" s="24"/>
      <c r="C113" s="68" t="str">
        <f>IF(OR(I113="",I113="None"),"-",IF(OR(K113="",K113="None"),E113&amp;" "&amp;"SEM-"&amp;F113&amp;" "&amp;"SKS-"&amp;G113&amp;" "&amp;H113&amp;" "&amp;J113,E113&amp;" "&amp;"SEM-"&amp;F113&amp;" SKS-"&amp;G113&amp;" "&amp;"S"&amp;H113&amp;" "&amp;H113&amp;" "&amp;J113&amp;"/"&amp;L113))</f>
        <v>Sosio dan Etika Profesi SEM-6 SKS-2 D HM</v>
      </c>
      <c r="D113" s="14" t="str">
        <f>IF(J$109&gt;='TABLE SISTEM'!A$6,'TABLE MK'!I$19,"")</f>
        <v xml:space="preserve"> INF-55201-312</v>
      </c>
      <c r="E113" s="14" t="str">
        <f>IF(D113="","",(VLOOKUP(D113,Table6[[#All],[Kode MK]:[Mata Kuliah Prasayarat]],2,)))</f>
        <v>Sosio dan Etika Profesi</v>
      </c>
      <c r="F113" s="15">
        <f>IF(D113="","",(VLOOKUP(D113,Table6[[#All],[Kode MK]:[Mata Kuliah Prasayarat]],3,)))</f>
        <v>6</v>
      </c>
      <c r="G113" s="15">
        <f>IF(D113="","",(VLOOKUP(D113,Table6[[#All],[Kode MK]:[Mata Kuliah Prasayarat]],4,)))</f>
        <v>2</v>
      </c>
      <c r="H113" s="15" t="str">
        <f>IF(D113="","","D")</f>
        <v>D</v>
      </c>
      <c r="I113" s="21" t="s">
        <v>125</v>
      </c>
      <c r="J113" s="17" t="str">
        <f>IF(I113="","",(VLOOKUP(I113,tbDosen[NAMA DOSEN]:tbDosen[[NAMA DOSEN]:[KODE]],2,)))</f>
        <v>HM</v>
      </c>
      <c r="K113" s="44" t="s">
        <v>105</v>
      </c>
      <c r="L113" s="17" t="str">
        <f>IF(K113="","",(VLOOKUP(K113,tbDosen[NAMA DOSEN]:tbDosen[[NAMA DOSEN]:[KODE]],2,)))</f>
        <v>-</v>
      </c>
      <c r="M113" s="16" t="str">
        <f>IF(OR(I113="",I113="None"),"",IF(OR(K113="",K113="None"),I113,I113&amp;" / "&amp;K113))</f>
        <v>Hafiz Muhardi, S.T., M.Kom</v>
      </c>
      <c r="N113" s="16" t="str">
        <f t="shared" si="14"/>
        <v>HM</v>
      </c>
      <c r="O113" s="18">
        <f>IF(OR(I113="",I113="None"),"",IF(OR(K113="",K113="None"),G113,G113/2))</f>
        <v>2</v>
      </c>
      <c r="P113" s="61" t="str">
        <f t="shared" si="15"/>
        <v>TIDAK</v>
      </c>
      <c r="Q113" s="203" t="str">
        <f t="shared" si="8"/>
        <v/>
      </c>
      <c r="R113" s="203" t="str">
        <f t="shared" si="9"/>
        <v/>
      </c>
      <c r="S113" s="203" t="str">
        <f t="shared" si="10"/>
        <v/>
      </c>
      <c r="T113" s="203" t="str">
        <f t="shared" si="11"/>
        <v/>
      </c>
      <c r="U113" s="12">
        <v>1</v>
      </c>
      <c r="V113" s="11" t="str">
        <f t="shared" si="12"/>
        <v/>
      </c>
      <c r="W113" s="165">
        <f t="shared" si="13"/>
        <v>28</v>
      </c>
      <c r="X113" s="24"/>
    </row>
    <row r="114" spans="2:24" ht="45" customHeight="1" x14ac:dyDescent="0.3">
      <c r="B114" s="24"/>
      <c r="C114" s="68" t="str">
        <f>IF(OR(I114="",I114="None"),"-",IF(OR(K114="",K114="None"),E114&amp;" "&amp;"SEM-"&amp;F114&amp;" "&amp;"SKS-"&amp;G114&amp;" "&amp;H114&amp;" "&amp;J114,E114&amp;" "&amp;"SEM-"&amp;F114&amp;" SKS-"&amp;G114&amp;" "&amp;"S"&amp;H114&amp;" "&amp;H114&amp;" "&amp;J114&amp;"/"&amp;L114))</f>
        <v>-</v>
      </c>
      <c r="D114" s="14" t="str">
        <f>IF(J$109&gt;='TABLE SISTEM'!A$7,'TABLE MK'!I$19,"")</f>
        <v/>
      </c>
      <c r="E114" s="14" t="str">
        <f>IF(D114="","",(VLOOKUP(D114,Table6[[#All],[Kode MK]:[Mata Kuliah Prasayarat]],2,)))</f>
        <v/>
      </c>
      <c r="F114" s="15" t="str">
        <f>IF(D114="","",(VLOOKUP(D114,Table6[[#All],[Kode MK]:[Mata Kuliah Prasayarat]],3,)))</f>
        <v/>
      </c>
      <c r="G114" s="15" t="str">
        <f>IF(D114="","",(VLOOKUP(D114,Table6[[#All],[Kode MK]:[Mata Kuliah Prasayarat]],4,)))</f>
        <v/>
      </c>
      <c r="H114" s="15" t="str">
        <f>IF(D114="","","E")</f>
        <v/>
      </c>
      <c r="I114" s="44" t="s">
        <v>105</v>
      </c>
      <c r="J114" s="17" t="str">
        <f>IF(I114="","",(VLOOKUP(I114,tbDosen[NAMA DOSEN]:tbDosen[[NAMA DOSEN]:[KODE]],2,)))</f>
        <v>-</v>
      </c>
      <c r="K114" s="44" t="s">
        <v>105</v>
      </c>
      <c r="L114" s="17" t="str">
        <f>IF(K114="","",(VLOOKUP(K114,tbDosen[NAMA DOSEN]:tbDosen[[NAMA DOSEN]:[KODE]],2,)))</f>
        <v>-</v>
      </c>
      <c r="M114" s="16" t="str">
        <f>IF(OR(I114="",I114="None"),"",IF(OR(K114="",K114="None"),I114,I114&amp;" / "&amp;K114))</f>
        <v/>
      </c>
      <c r="N114" s="16" t="str">
        <f t="shared" si="14"/>
        <v/>
      </c>
      <c r="O114" s="18" t="str">
        <f>IF(OR(I114="",I114="None"),"",IF(OR(K114="",K114="None"),G114,G114/2))</f>
        <v/>
      </c>
      <c r="P114" s="62" t="str">
        <f t="shared" si="15"/>
        <v/>
      </c>
      <c r="Q114" s="203" t="str">
        <f t="shared" si="8"/>
        <v/>
      </c>
      <c r="R114" s="203" t="str">
        <f t="shared" si="9"/>
        <v/>
      </c>
      <c r="S114" s="203" t="str">
        <f t="shared" si="10"/>
        <v/>
      </c>
      <c r="T114" s="203" t="str">
        <f t="shared" si="11"/>
        <v/>
      </c>
      <c r="U114" s="12">
        <v>0</v>
      </c>
      <c r="V114" s="11" t="str">
        <f t="shared" si="12"/>
        <v/>
      </c>
      <c r="W114" s="165">
        <f t="shared" si="13"/>
        <v>35</v>
      </c>
      <c r="X114" s="24"/>
    </row>
    <row r="115" spans="2:24" ht="45" customHeight="1" thickBot="1" x14ac:dyDescent="0.35">
      <c r="B115" s="24"/>
      <c r="C115" s="67"/>
      <c r="D115" s="41" t="s">
        <v>157</v>
      </c>
      <c r="E115" s="256" t="str">
        <f>'TABLE MK'!J20</f>
        <v>MK Pilihan Wajib Komputasi (PBA)</v>
      </c>
      <c r="F115" s="256"/>
      <c r="G115" s="256"/>
      <c r="H115" s="256"/>
      <c r="I115" s="41" t="s">
        <v>95</v>
      </c>
      <c r="J115" s="40">
        <v>4</v>
      </c>
      <c r="K115" s="42"/>
      <c r="L115" s="43"/>
      <c r="M115" s="43" t="s">
        <v>161</v>
      </c>
      <c r="N115" s="45"/>
      <c r="O115" s="42"/>
      <c r="P115" s="63"/>
      <c r="Q115" s="203" t="str">
        <f t="shared" si="8"/>
        <v/>
      </c>
      <c r="R115" s="203" t="str">
        <f t="shared" si="9"/>
        <v/>
      </c>
      <c r="S115" s="203" t="str">
        <f t="shared" si="10"/>
        <v>Jumlah Kelas</v>
      </c>
      <c r="T115" s="203">
        <f t="shared" si="11"/>
        <v>0</v>
      </c>
      <c r="U115" s="12">
        <v>0</v>
      </c>
      <c r="V115" s="11" t="str">
        <f t="shared" si="12"/>
        <v/>
      </c>
      <c r="W115" s="165">
        <f t="shared" si="13"/>
        <v>35</v>
      </c>
      <c r="X115" s="24"/>
    </row>
    <row r="116" spans="2:24" ht="45" customHeight="1" thickBot="1" x14ac:dyDescent="0.35">
      <c r="B116" s="24"/>
      <c r="C116" s="68" t="str">
        <f>IF(OR(I116="",I116="None"),"-",IF(OR(K116="",K116="None"),E116&amp;" "&amp;"SEM-"&amp;F116&amp;" "&amp;"SKS-"&amp;G116&amp;" "&amp;H116&amp;" "&amp;J116,E116&amp;" "&amp;"SEM-"&amp;F116&amp;" SKS-"&amp;G116&amp;" "&amp;"S"&amp;H116&amp;" "&amp;H116&amp;" "&amp;J116&amp;"/"&amp;L116))</f>
        <v>MK Pilihan Wajib Komputasi (PBA) SEM-6 SKS-3 SA A HS/ABP</v>
      </c>
      <c r="D116" t="str">
        <f>IF(J$115&gt;='TABLE SISTEM'!A$3,'TABLE MK'!I$20,"")</f>
        <v xml:space="preserve"> INF-55201-313</v>
      </c>
      <c r="E116" s="14" t="str">
        <f>IF(D116="","",(VLOOKUP(D116,Table6[[#All],[Kode MK]:[Mata Kuliah Prasayarat]],2,)))</f>
        <v>MK Pilihan Wajib Komputasi (PBA)</v>
      </c>
      <c r="F116" s="15">
        <f>IF(D116="","",(VLOOKUP(D116,Table6[[#All],[Kode MK]:[Mata Kuliah Prasayarat]],3,)))</f>
        <v>6</v>
      </c>
      <c r="G116" s="15">
        <f>IF(D116="","",(VLOOKUP(D116,Table6[[#All],[Kode MK]:[Mata Kuliah Prasayarat]],4,)))</f>
        <v>3</v>
      </c>
      <c r="H116" s="15" t="str">
        <f>IF(D116="","","A")</f>
        <v>A</v>
      </c>
      <c r="I116" s="21" t="s">
        <v>113</v>
      </c>
      <c r="J116" s="17" t="str">
        <f>IF(I116="","",(VLOOKUP(I116,tbDosen[NAMA DOSEN]:tbDosen[[NAMA DOSEN]:[KODE]],2,)))</f>
        <v>HS</v>
      </c>
      <c r="K116" s="21" t="s">
        <v>111</v>
      </c>
      <c r="L116" s="17" t="str">
        <f>IF(K116="","",(VLOOKUP(K116,tbDosen[NAMA DOSEN]:tbDosen[[NAMA DOSEN]:[KODE]],2,)))</f>
        <v>ABP</v>
      </c>
      <c r="M116" s="16" t="str">
        <f>IF(OR(I116="",I116="None"),"",IF(OR(K116="",K116="None"),I116,I116&amp;" / "&amp;K116))</f>
        <v>Dr. Herry Sujaini, S.T., M.T. / Dr. Arif BPN, S.T., M.T.</v>
      </c>
      <c r="N116" s="16" t="str">
        <f t="shared" si="14"/>
        <v>HS / ABP</v>
      </c>
      <c r="O116" s="18">
        <f>IF(OR(I116="",I116="None"),"",IF(OR(K116="",K116="None"),G116,G116/2))</f>
        <v>1.5</v>
      </c>
      <c r="P116" s="60" t="str">
        <f t="shared" si="15"/>
        <v>TIDAK</v>
      </c>
      <c r="Q116" s="203" t="str">
        <f t="shared" si="8"/>
        <v/>
      </c>
      <c r="R116" s="203" t="str">
        <f t="shared" si="9"/>
        <v/>
      </c>
      <c r="S116" s="203" t="str">
        <f t="shared" si="10"/>
        <v>Dr. Herry Sujaini, S.T., M.T.</v>
      </c>
      <c r="T116" s="203" t="str">
        <f t="shared" si="11"/>
        <v>Dr. Arif BPN, S.T., M.T.</v>
      </c>
      <c r="U116" s="12">
        <v>1</v>
      </c>
      <c r="V116" s="11" t="str">
        <f t="shared" si="12"/>
        <v/>
      </c>
      <c r="W116" s="165">
        <f t="shared" si="13"/>
        <v>28</v>
      </c>
      <c r="X116" s="24"/>
    </row>
    <row r="117" spans="2:24" ht="45" customHeight="1" thickBot="1" x14ac:dyDescent="0.35">
      <c r="B117" s="24"/>
      <c r="C117" s="68" t="str">
        <f>IF(OR(I117="",I117="None"),"-",IF(OR(K117="",K117="None"),E117&amp;" "&amp;"SEM-"&amp;F117&amp;" "&amp;"SKS-"&amp;G117&amp;" "&amp;H117&amp;" "&amp;J117,E117&amp;" "&amp;"SEM-"&amp;F117&amp;" SKS-"&amp;G117&amp;" "&amp;"S"&amp;H117&amp;" "&amp;H117&amp;" "&amp;J117&amp;"/"&amp;L117))</f>
        <v>MK Pilihan Wajib Komputasi (PBA) SEM-6 SKS-3 SB B HS/ABP</v>
      </c>
      <c r="D117" t="str">
        <f>IF(J$115&gt;='TABLE SISTEM'!A$4,'TABLE MK'!I$20,"")</f>
        <v xml:space="preserve"> INF-55201-313</v>
      </c>
      <c r="E117" s="14" t="str">
        <f>IF(D117="","",(VLOOKUP(D117,Table6[[#All],[Kode MK]:[Mata Kuliah Prasayarat]],2,)))</f>
        <v>MK Pilihan Wajib Komputasi (PBA)</v>
      </c>
      <c r="F117" s="15">
        <f>IF(D117="","",(VLOOKUP(D117,Table6[[#All],[Kode MK]:[Mata Kuliah Prasayarat]],3,)))</f>
        <v>6</v>
      </c>
      <c r="G117" s="15">
        <f>IF(D117="","",(VLOOKUP(D117,Table6[[#All],[Kode MK]:[Mata Kuliah Prasayarat]],4,)))</f>
        <v>3</v>
      </c>
      <c r="H117" s="15" t="str">
        <f>IF(D117="","","B")</f>
        <v>B</v>
      </c>
      <c r="I117" s="21" t="s">
        <v>113</v>
      </c>
      <c r="J117" s="17" t="str">
        <f>IF(I117="","",(VLOOKUP(I117,tbDosen[NAMA DOSEN]:tbDosen[[NAMA DOSEN]:[KODE]],2,)))</f>
        <v>HS</v>
      </c>
      <c r="K117" s="21" t="s">
        <v>111</v>
      </c>
      <c r="L117" s="17" t="str">
        <f>IF(K117="","",(VLOOKUP(K117,tbDosen[NAMA DOSEN]:tbDosen[[NAMA DOSEN]:[KODE]],2,)))</f>
        <v>ABP</v>
      </c>
      <c r="M117" s="16" t="str">
        <f>IF(OR(I117="",I117="None"),"",IF(OR(K117="",K117="None"),I117,I117&amp;" / "&amp;K117))</f>
        <v>Dr. Herry Sujaini, S.T., M.T. / Dr. Arif BPN, S.T., M.T.</v>
      </c>
      <c r="N117" s="16" t="str">
        <f t="shared" si="14"/>
        <v>HS / ABP</v>
      </c>
      <c r="O117" s="18">
        <f>IF(OR(I117="",I117="None"),"",IF(OR(K117="",K117="None"),G117,G117/2))</f>
        <v>1.5</v>
      </c>
      <c r="P117" s="61" t="str">
        <f t="shared" si="15"/>
        <v>TIDAK</v>
      </c>
      <c r="Q117" s="203" t="str">
        <f t="shared" si="8"/>
        <v/>
      </c>
      <c r="R117" s="203" t="str">
        <f t="shared" si="9"/>
        <v/>
      </c>
      <c r="S117" s="203" t="str">
        <f t="shared" si="10"/>
        <v>Dr. Herry Sujaini, S.T., M.T.</v>
      </c>
      <c r="T117" s="203" t="str">
        <f t="shared" si="11"/>
        <v>Dr. Arif BPN, S.T., M.T.</v>
      </c>
      <c r="U117" s="12">
        <v>1</v>
      </c>
      <c r="V117" s="11" t="str">
        <f t="shared" si="12"/>
        <v/>
      </c>
      <c r="W117" s="165">
        <f t="shared" si="13"/>
        <v>28</v>
      </c>
      <c r="X117" s="24"/>
    </row>
    <row r="118" spans="2:24" ht="45" customHeight="1" thickBot="1" x14ac:dyDescent="0.35">
      <c r="B118" s="24"/>
      <c r="C118" s="68" t="str">
        <f>IF(OR(I118="",I118="None"),"-",IF(OR(K118="",K118="None"),E118&amp;" "&amp;"SEM-"&amp;F118&amp;" "&amp;"SKS-"&amp;G118&amp;" "&amp;H118&amp;" "&amp;J118,E118&amp;" "&amp;"SEM-"&amp;F118&amp;" SKS-"&amp;G118&amp;" "&amp;"S"&amp;H118&amp;" "&amp;H118&amp;" "&amp;J118&amp;"/"&amp;L118))</f>
        <v>MK Pilihan Wajib Komputasi (PBA) SEM-6 SKS-3 SC C ABP/HS</v>
      </c>
      <c r="D118" t="str">
        <f>IF(J$115&gt;='TABLE SISTEM'!A$5,'TABLE MK'!I$20,"")</f>
        <v xml:space="preserve"> INF-55201-313</v>
      </c>
      <c r="E118" s="14" t="str">
        <f>IF(D118="","",(VLOOKUP(D118,Table6[[#All],[Kode MK]:[Mata Kuliah Prasayarat]],2,)))</f>
        <v>MK Pilihan Wajib Komputasi (PBA)</v>
      </c>
      <c r="F118" s="15">
        <f>IF(D118="","",(VLOOKUP(D118,Table6[[#All],[Kode MK]:[Mata Kuliah Prasayarat]],3,)))</f>
        <v>6</v>
      </c>
      <c r="G118" s="15">
        <f>IF(D118="","",(VLOOKUP(D118,Table6[[#All],[Kode MK]:[Mata Kuliah Prasayarat]],4,)))</f>
        <v>3</v>
      </c>
      <c r="H118" s="15" t="str">
        <f>IF(D118="","","C")</f>
        <v>C</v>
      </c>
      <c r="I118" s="21" t="s">
        <v>111</v>
      </c>
      <c r="J118" s="17" t="str">
        <f>IF(I118="","",(VLOOKUP(I118,tbDosen[NAMA DOSEN]:tbDosen[[NAMA DOSEN]:[KODE]],2,)))</f>
        <v>ABP</v>
      </c>
      <c r="K118" s="21" t="s">
        <v>113</v>
      </c>
      <c r="L118" s="17" t="str">
        <f>IF(K118="","",(VLOOKUP(K118,tbDosen[NAMA DOSEN]:tbDosen[[NAMA DOSEN]:[KODE]],2,)))</f>
        <v>HS</v>
      </c>
      <c r="M118" s="16" t="str">
        <f>IF(OR(I118="",I118="None"),"",IF(OR(K118="",K118="None"),I118,I118&amp;" / "&amp;K118))</f>
        <v>Dr. Arif BPN, S.T., M.T. / Dr. Herry Sujaini, S.T., M.T.</v>
      </c>
      <c r="N118" s="16" t="str">
        <f t="shared" si="14"/>
        <v>ABP / HS</v>
      </c>
      <c r="O118" s="18">
        <f>IF(OR(I118="",I118="None"),"",IF(OR(K118="",K118="None"),G118,G118/2))</f>
        <v>1.5</v>
      </c>
      <c r="P118" s="61" t="str">
        <f t="shared" si="15"/>
        <v>TIDAK</v>
      </c>
      <c r="Q118" s="203" t="str">
        <f t="shared" si="8"/>
        <v/>
      </c>
      <c r="R118" s="203" t="str">
        <f t="shared" si="9"/>
        <v/>
      </c>
      <c r="S118" s="203" t="str">
        <f t="shared" si="10"/>
        <v>Dr. Arif BPN, S.T., M.T.</v>
      </c>
      <c r="T118" s="203" t="str">
        <f t="shared" si="11"/>
        <v>Dr. Herry Sujaini, S.T., M.T.</v>
      </c>
      <c r="U118" s="12">
        <v>1</v>
      </c>
      <c r="V118" s="11" t="str">
        <f t="shared" si="12"/>
        <v/>
      </c>
      <c r="W118" s="165">
        <f t="shared" si="13"/>
        <v>28</v>
      </c>
      <c r="X118" s="24"/>
    </row>
    <row r="119" spans="2:24" ht="45" customHeight="1" thickBot="1" x14ac:dyDescent="0.35">
      <c r="B119" s="24"/>
      <c r="C119" s="68" t="str">
        <f>IF(OR(I119="",I119="None"),"-",IF(OR(K119="",K119="None"),E119&amp;" "&amp;"SEM-"&amp;F119&amp;" "&amp;"SKS-"&amp;G119&amp;" "&amp;H119&amp;" "&amp;J119,E119&amp;" "&amp;"SEM-"&amp;F119&amp;" SKS-"&amp;G119&amp;" "&amp;"S"&amp;H119&amp;" "&amp;H119&amp;" "&amp;J119&amp;"/"&amp;L119))</f>
        <v>MK Pilihan Wajib Komputasi (PBA) SEM-6 SKS-3 SD D ABP/HS</v>
      </c>
      <c r="D119" t="str">
        <f>IF(J$115&gt;='TABLE SISTEM'!A$6,'TABLE MK'!I$20,"")</f>
        <v xml:space="preserve"> INF-55201-313</v>
      </c>
      <c r="E119" s="14" t="str">
        <f>IF(D119="","",(VLOOKUP(D119,Table6[[#All],[Kode MK]:[Mata Kuliah Prasayarat]],2,)))</f>
        <v>MK Pilihan Wajib Komputasi (PBA)</v>
      </c>
      <c r="F119" s="15">
        <f>IF(D119="","",(VLOOKUP(D119,Table6[[#All],[Kode MK]:[Mata Kuliah Prasayarat]],3,)))</f>
        <v>6</v>
      </c>
      <c r="G119" s="15">
        <f>IF(D119="","",(VLOOKUP(D119,Table6[[#All],[Kode MK]:[Mata Kuliah Prasayarat]],4,)))</f>
        <v>3</v>
      </c>
      <c r="H119" s="15" t="str">
        <f>IF(D119="","","D")</f>
        <v>D</v>
      </c>
      <c r="I119" s="21" t="s">
        <v>111</v>
      </c>
      <c r="J119" s="17" t="str">
        <f>IF(I119="","",(VLOOKUP(I119,tbDosen[NAMA DOSEN]:tbDosen[[NAMA DOSEN]:[KODE]],2,)))</f>
        <v>ABP</v>
      </c>
      <c r="K119" s="21" t="s">
        <v>113</v>
      </c>
      <c r="L119" s="17" t="str">
        <f>IF(K119="","",(VLOOKUP(K119,tbDosen[NAMA DOSEN]:tbDosen[[NAMA DOSEN]:[KODE]],2,)))</f>
        <v>HS</v>
      </c>
      <c r="M119" s="16" t="str">
        <f>IF(OR(I119="",I119="None"),"",IF(OR(K119="",K119="None"),I119,I119&amp;" / "&amp;K119))</f>
        <v>Dr. Arif BPN, S.T., M.T. / Dr. Herry Sujaini, S.T., M.T.</v>
      </c>
      <c r="N119" s="16" t="str">
        <f t="shared" si="14"/>
        <v>ABP / HS</v>
      </c>
      <c r="O119" s="18">
        <f>IF(OR(I119="",I119="None"),"",IF(OR(K119="",K119="None"),G119,G119/2))</f>
        <v>1.5</v>
      </c>
      <c r="P119" s="61" t="str">
        <f t="shared" si="15"/>
        <v>TIDAK</v>
      </c>
      <c r="Q119" s="203" t="str">
        <f t="shared" si="8"/>
        <v/>
      </c>
      <c r="R119" s="203" t="str">
        <f t="shared" si="9"/>
        <v/>
      </c>
      <c r="S119" s="203" t="str">
        <f t="shared" si="10"/>
        <v>Dr. Arif BPN, S.T., M.T.</v>
      </c>
      <c r="T119" s="203" t="str">
        <f t="shared" si="11"/>
        <v>Dr. Herry Sujaini, S.T., M.T.</v>
      </c>
      <c r="U119" s="12">
        <v>1</v>
      </c>
      <c r="V119" s="11" t="str">
        <f t="shared" si="12"/>
        <v/>
      </c>
      <c r="W119" s="165">
        <f t="shared" si="13"/>
        <v>28</v>
      </c>
      <c r="X119" s="24"/>
    </row>
    <row r="120" spans="2:24" ht="45" customHeight="1" thickBot="1" x14ac:dyDescent="0.35">
      <c r="B120" s="24"/>
      <c r="C120" s="68" t="str">
        <f>IF(OR(I120="",I120="None"),"-",IF(OR(K120="",K120="None"),E120&amp;" "&amp;"SEM-"&amp;F120&amp;" "&amp;"SKS-"&amp;G120&amp;" "&amp;H120&amp;" "&amp;J120,E120&amp;" "&amp;"SEM-"&amp;F120&amp;" SKS-"&amp;G120&amp;" "&amp;"S"&amp;H120&amp;" "&amp;H120&amp;" "&amp;J120&amp;"/"&amp;L120))</f>
        <v>-</v>
      </c>
      <c r="D120" t="str">
        <f>IF(J$115&gt;='TABLE SISTEM'!A$7,'TABLE MK'!I$20,"")</f>
        <v/>
      </c>
      <c r="E120" s="14" t="str">
        <f>IF(D120="","",(VLOOKUP(D120,Table6[[#All],[Kode MK]:[Mata Kuliah Prasayarat]],2,)))</f>
        <v/>
      </c>
      <c r="F120" s="15" t="str">
        <f>IF(D120="","",(VLOOKUP(D120,Table6[[#All],[Kode MK]:[Mata Kuliah Prasayarat]],3,)))</f>
        <v/>
      </c>
      <c r="G120" s="15" t="str">
        <f>IF(D120="","",(VLOOKUP(D120,Table6[[#All],[Kode MK]:[Mata Kuliah Prasayarat]],4,)))</f>
        <v/>
      </c>
      <c r="H120" s="15" t="str">
        <f>IF(D120="","","E")</f>
        <v/>
      </c>
      <c r="I120" s="21" t="s">
        <v>105</v>
      </c>
      <c r="J120" s="17" t="str">
        <f>IF(I120="","",(VLOOKUP(I120,tbDosen[NAMA DOSEN]:tbDosen[[NAMA DOSEN]:[KODE]],2,)))</f>
        <v>-</v>
      </c>
      <c r="K120" s="44" t="s">
        <v>105</v>
      </c>
      <c r="L120" s="17" t="str">
        <f>IF(K120="","",(VLOOKUP(K120,tbDosen[NAMA DOSEN]:tbDosen[[NAMA DOSEN]:[KODE]],2,)))</f>
        <v>-</v>
      </c>
      <c r="M120" s="16" t="str">
        <f>IF(OR(I120="",I120="None"),"",IF(OR(K120="",K120="None"),I120,I120&amp;" / "&amp;K120))</f>
        <v/>
      </c>
      <c r="N120" s="16" t="str">
        <f t="shared" si="14"/>
        <v/>
      </c>
      <c r="O120" s="18" t="str">
        <f>IF(OR(I120="",I120="None"),"",IF(OR(K120="",K120="None"),G120,G120/2))</f>
        <v/>
      </c>
      <c r="P120" s="62" t="str">
        <f t="shared" si="15"/>
        <v/>
      </c>
      <c r="Q120" s="203" t="str">
        <f t="shared" si="8"/>
        <v/>
      </c>
      <c r="R120" s="203" t="str">
        <f t="shared" si="9"/>
        <v/>
      </c>
      <c r="S120" s="203" t="str">
        <f t="shared" si="10"/>
        <v/>
      </c>
      <c r="T120" s="203" t="str">
        <f t="shared" si="11"/>
        <v/>
      </c>
      <c r="U120" s="12">
        <v>0</v>
      </c>
      <c r="V120" s="11" t="str">
        <f t="shared" si="12"/>
        <v/>
      </c>
      <c r="W120" s="165">
        <f t="shared" si="13"/>
        <v>35</v>
      </c>
      <c r="X120" s="24"/>
    </row>
    <row r="121" spans="2:24" ht="45" customHeight="1" thickBot="1" x14ac:dyDescent="0.35">
      <c r="B121" s="24"/>
      <c r="C121" s="67"/>
      <c r="D121" s="41" t="s">
        <v>157</v>
      </c>
      <c r="E121" s="256" t="str">
        <f>'TABLE MK'!J21</f>
        <v>MK Pilihan Wajib  Jaringan (Jaringan  Nirkabel  )</v>
      </c>
      <c r="F121" s="256"/>
      <c r="G121" s="256"/>
      <c r="H121" s="256"/>
      <c r="I121" s="41" t="s">
        <v>95</v>
      </c>
      <c r="J121" s="40">
        <v>4</v>
      </c>
      <c r="K121" s="42"/>
      <c r="L121" s="43"/>
      <c r="M121" s="43" t="s">
        <v>161</v>
      </c>
      <c r="N121" s="45"/>
      <c r="O121" s="42"/>
      <c r="P121" s="63"/>
      <c r="Q121" s="203" t="str">
        <f t="shared" si="8"/>
        <v/>
      </c>
      <c r="R121" s="203" t="str">
        <f t="shared" si="9"/>
        <v/>
      </c>
      <c r="S121" s="203" t="str">
        <f t="shared" si="10"/>
        <v>Jumlah Kelas</v>
      </c>
      <c r="T121" s="203">
        <f t="shared" si="11"/>
        <v>0</v>
      </c>
      <c r="U121" s="12">
        <v>0</v>
      </c>
      <c r="V121" s="11" t="str">
        <f t="shared" si="12"/>
        <v/>
      </c>
      <c r="W121" s="165">
        <f t="shared" si="13"/>
        <v>35</v>
      </c>
      <c r="X121" s="24"/>
    </row>
    <row r="122" spans="2:24" ht="45" customHeight="1" thickBot="1" x14ac:dyDescent="0.35">
      <c r="B122" s="24"/>
      <c r="C122" s="68" t="str">
        <f>IF(OR(I122="",I122="None"),"-",IF(OR(K122="",K122="None"),E122&amp;" "&amp;"SEM-"&amp;F122&amp;" "&amp;"SKS-"&amp;G122&amp;" "&amp;H122&amp;" "&amp;J122,E122&amp;" "&amp;"SEM-"&amp;F122&amp;" SKS-"&amp;G122&amp;" "&amp;"S"&amp;H122&amp;" "&amp;H122&amp;" "&amp;J122&amp;"/"&amp;L122))</f>
        <v>MK Pilihan Wajib  Jaringan (Jaringan  Nirkabel  ) SEM-6 SKS-3 SA A HP/RK</v>
      </c>
      <c r="D122" s="14" t="str">
        <f>IF(J$121&gt;='TABLE SISTEM'!A$3,'TABLE MK'!I$21,"")</f>
        <v xml:space="preserve"> INF-55201-314</v>
      </c>
      <c r="E122" s="14" t="str">
        <f>IF(D122="","",(VLOOKUP(D122,Table6[[#All],[Kode MK]:[Mata Kuliah Prasayarat]],2,)))</f>
        <v>MK Pilihan Wajib  Jaringan (Jaringan  Nirkabel  )</v>
      </c>
      <c r="F122" s="15">
        <f>IF(D122="","",(VLOOKUP(D122,Table6[[#All],[Kode MK]:[Mata Kuliah Prasayarat]],3,)))</f>
        <v>6</v>
      </c>
      <c r="G122" s="15">
        <f>IF(D122="","",(VLOOKUP(D122,Table6[[#All],[Kode MK]:[Mata Kuliah Prasayarat]],4,)))</f>
        <v>3</v>
      </c>
      <c r="H122" s="15" t="str">
        <f>IF(D122="","","A")</f>
        <v>A</v>
      </c>
      <c r="I122" s="21" t="s">
        <v>132</v>
      </c>
      <c r="J122" s="17" t="str">
        <f>IF(I122="","",(VLOOKUP(I122,tbDosen[NAMA DOSEN]:tbDosen[[NAMA DOSEN]:[KODE]],2,)))</f>
        <v>HP</v>
      </c>
      <c r="K122" s="39" t="s">
        <v>558</v>
      </c>
      <c r="L122" s="17" t="str">
        <f>IF(K122="","",(VLOOKUP(K122,tbDosen[NAMA DOSEN]:tbDosen[[NAMA DOSEN]:[KODE]],2,)))</f>
        <v>RK</v>
      </c>
      <c r="M122" s="16" t="str">
        <f>IF(OR(I122="",I122="None"),"",IF(OR(K122="",K122="None"),I122,I122&amp;" / "&amp;K122))</f>
        <v>Heri Priyanto,S.T., M.T. / Prof. Dr. Eng. Ir. Rudi Kurnianto, S.T., M.T., IPM.</v>
      </c>
      <c r="N122" s="16" t="str">
        <f t="shared" si="14"/>
        <v>HP / RK</v>
      </c>
      <c r="O122" s="18">
        <f>IF(OR(I122="",I122="None"),"",IF(OR(K122="",K122="None"),G122,G122/2))</f>
        <v>1.5</v>
      </c>
      <c r="P122" s="60" t="str">
        <f t="shared" si="15"/>
        <v>TIDAK</v>
      </c>
      <c r="Q122" s="203" t="str">
        <f t="shared" si="8"/>
        <v/>
      </c>
      <c r="R122" s="203" t="str">
        <f t="shared" si="9"/>
        <v/>
      </c>
      <c r="S122" s="203" t="str">
        <f t="shared" si="10"/>
        <v>Heri Priyanto,S.T., M.T.</v>
      </c>
      <c r="T122" s="203" t="str">
        <f t="shared" si="11"/>
        <v>Prof. Dr. Eng. Ir. Rudi Kurnianto, S.T., M.T., IPM.</v>
      </c>
      <c r="U122" s="12">
        <v>1</v>
      </c>
      <c r="V122" s="11" t="str">
        <f t="shared" si="12"/>
        <v/>
      </c>
      <c r="W122" s="165">
        <f t="shared" si="13"/>
        <v>28</v>
      </c>
      <c r="X122" s="24"/>
    </row>
    <row r="123" spans="2:24" ht="45" customHeight="1" thickBot="1" x14ac:dyDescent="0.35">
      <c r="B123" s="24"/>
      <c r="C123" s="68" t="str">
        <f>IF(OR(I123="",I123="None"),"-",IF(OR(K123="",K123="None"),E123&amp;" "&amp;"SEM-"&amp;F123&amp;" "&amp;"SKS-"&amp;G123&amp;" "&amp;H123&amp;" "&amp;J123,E123&amp;" "&amp;"SEM-"&amp;F123&amp;" SKS-"&amp;G123&amp;" "&amp;"S"&amp;H123&amp;" "&amp;H123&amp;" "&amp;J123&amp;"/"&amp;L123))</f>
        <v>MK Pilihan Wajib  Jaringan (Jaringan  Nirkabel  ) SEM-6 SKS-3 B HP</v>
      </c>
      <c r="D123" s="14" t="str">
        <f>IF(J$121&gt;='TABLE SISTEM'!A$4,'TABLE MK'!I$21,"")</f>
        <v xml:space="preserve"> INF-55201-314</v>
      </c>
      <c r="E123" s="14" t="str">
        <f>IF(D123="","",(VLOOKUP(D123,Table6[[#All],[Kode MK]:[Mata Kuliah Prasayarat]],2,)))</f>
        <v>MK Pilihan Wajib  Jaringan (Jaringan  Nirkabel  )</v>
      </c>
      <c r="F123" s="15">
        <f>IF(D123="","",(VLOOKUP(D123,Table6[[#All],[Kode MK]:[Mata Kuliah Prasayarat]],3,)))</f>
        <v>6</v>
      </c>
      <c r="G123" s="15">
        <f>IF(D123="","",(VLOOKUP(D123,Table6[[#All],[Kode MK]:[Mata Kuliah Prasayarat]],4,)))</f>
        <v>3</v>
      </c>
      <c r="H123" s="15" t="str">
        <f>IF(D123="","","B")</f>
        <v>B</v>
      </c>
      <c r="I123" s="21" t="s">
        <v>132</v>
      </c>
      <c r="J123" s="17" t="str">
        <f>IF(I123="","",(VLOOKUP(I123,tbDosen[NAMA DOSEN]:tbDosen[[NAMA DOSEN]:[KODE]],2,)))</f>
        <v>HP</v>
      </c>
      <c r="K123" s="39" t="s">
        <v>105</v>
      </c>
      <c r="L123" s="17" t="str">
        <f>IF(K123="","",(VLOOKUP(K123,tbDosen[NAMA DOSEN]:tbDosen[[NAMA DOSEN]:[KODE]],2,)))</f>
        <v>-</v>
      </c>
      <c r="M123" s="16" t="str">
        <f>IF(OR(I123="",I123="None"),"",IF(OR(K123="",K123="None"),I123,I123&amp;" / "&amp;K123))</f>
        <v>Heri Priyanto,S.T., M.T.</v>
      </c>
      <c r="N123" s="16" t="str">
        <f t="shared" si="14"/>
        <v>HP</v>
      </c>
      <c r="O123" s="18">
        <f>IF(OR(I123="",I123="None"),"",IF(OR(K123="",K123="None"),G123,G123/2))</f>
        <v>3</v>
      </c>
      <c r="P123" s="61" t="str">
        <f t="shared" si="15"/>
        <v>TIDAK</v>
      </c>
      <c r="Q123" s="203" t="str">
        <f t="shared" si="8"/>
        <v/>
      </c>
      <c r="R123" s="203" t="str">
        <f t="shared" si="9"/>
        <v/>
      </c>
      <c r="S123" s="203" t="str">
        <f t="shared" si="10"/>
        <v/>
      </c>
      <c r="T123" s="203" t="str">
        <f t="shared" si="11"/>
        <v/>
      </c>
      <c r="U123" s="12">
        <v>1</v>
      </c>
      <c r="V123" s="11" t="str">
        <f t="shared" si="12"/>
        <v/>
      </c>
      <c r="W123" s="165">
        <f t="shared" si="13"/>
        <v>28</v>
      </c>
      <c r="X123" s="24"/>
    </row>
    <row r="124" spans="2:24" ht="45" customHeight="1" thickBot="1" x14ac:dyDescent="0.35">
      <c r="B124" s="24"/>
      <c r="C124" s="68" t="str">
        <f>IF(OR(I124="",I124="None"),"-",IF(OR(K124="",K124="None"),E124&amp;" "&amp;"SEM-"&amp;F124&amp;" "&amp;"SKS-"&amp;G124&amp;" "&amp;H124&amp;" "&amp;J124,E124&amp;" "&amp;"SEM-"&amp;F124&amp;" SKS-"&amp;G124&amp;" "&amp;"S"&amp;H124&amp;" "&amp;H124&amp;" "&amp;J124&amp;"/"&amp;L124))</f>
        <v>MK Pilihan Wajib  Jaringan (Jaringan  Nirkabel  ) SEM-6 SKS-3 C HP</v>
      </c>
      <c r="D124" s="14" t="str">
        <f>IF(J$121&gt;='TABLE SISTEM'!A$5,'TABLE MK'!I$21,"")</f>
        <v xml:space="preserve"> INF-55201-314</v>
      </c>
      <c r="E124" s="14" t="str">
        <f>IF(D124="","",(VLOOKUP(D124,Table6[[#All],[Kode MK]:[Mata Kuliah Prasayarat]],2,)))</f>
        <v>MK Pilihan Wajib  Jaringan (Jaringan  Nirkabel  )</v>
      </c>
      <c r="F124" s="15">
        <f>IF(D124="","",(VLOOKUP(D124,Table6[[#All],[Kode MK]:[Mata Kuliah Prasayarat]],3,)))</f>
        <v>6</v>
      </c>
      <c r="G124" s="15">
        <f>IF(D124="","",(VLOOKUP(D124,Table6[[#All],[Kode MK]:[Mata Kuliah Prasayarat]],4,)))</f>
        <v>3</v>
      </c>
      <c r="H124" s="15" t="str">
        <f>IF(D124="","","C")</f>
        <v>C</v>
      </c>
      <c r="I124" s="21" t="s">
        <v>132</v>
      </c>
      <c r="J124" s="17" t="str">
        <f>IF(I124="","",(VLOOKUP(I124,tbDosen[NAMA DOSEN]:tbDosen[[NAMA DOSEN]:[KODE]],2,)))</f>
        <v>HP</v>
      </c>
      <c r="K124" s="39" t="s">
        <v>105</v>
      </c>
      <c r="L124" s="17" t="str">
        <f>IF(K124="","",(VLOOKUP(K124,tbDosen[NAMA DOSEN]:tbDosen[[NAMA DOSEN]:[KODE]],2,)))</f>
        <v>-</v>
      </c>
      <c r="M124" s="16" t="str">
        <f>IF(OR(I124="",I124="None"),"",IF(OR(K124="",K124="None"),I124,I124&amp;" / "&amp;K124))</f>
        <v>Heri Priyanto,S.T., M.T.</v>
      </c>
      <c r="N124" s="16" t="str">
        <f t="shared" si="14"/>
        <v>HP</v>
      </c>
      <c r="O124" s="18">
        <f>IF(OR(I124="",I124="None"),"",IF(OR(K124="",K124="None"),G124,G124/2))</f>
        <v>3</v>
      </c>
      <c r="P124" s="61" t="str">
        <f t="shared" si="15"/>
        <v>TIDAK</v>
      </c>
      <c r="Q124" s="203" t="str">
        <f t="shared" si="8"/>
        <v/>
      </c>
      <c r="R124" s="203" t="str">
        <f t="shared" si="9"/>
        <v/>
      </c>
      <c r="S124" s="203" t="str">
        <f t="shared" si="10"/>
        <v/>
      </c>
      <c r="T124" s="203" t="str">
        <f t="shared" si="11"/>
        <v/>
      </c>
      <c r="U124" s="12">
        <v>1</v>
      </c>
      <c r="V124" s="11" t="str">
        <f t="shared" si="12"/>
        <v/>
      </c>
      <c r="W124" s="165">
        <f t="shared" si="13"/>
        <v>28</v>
      </c>
      <c r="X124" s="24"/>
    </row>
    <row r="125" spans="2:24" ht="45" customHeight="1" thickBot="1" x14ac:dyDescent="0.35">
      <c r="B125" s="24"/>
      <c r="C125" s="68" t="str">
        <f>IF(OR(I125="",I125="None"),"-",IF(OR(K125="",K125="None"),E125&amp;" "&amp;"SEM-"&amp;F125&amp;" "&amp;"SKS-"&amp;G125&amp;" "&amp;H125&amp;" "&amp;J125,E125&amp;" "&amp;"SEM-"&amp;F125&amp;" SKS-"&amp;G125&amp;" "&amp;"S"&amp;H125&amp;" "&amp;H125&amp;" "&amp;J125&amp;"/"&amp;L125))</f>
        <v>MK Pilihan Wajib  Jaringan (Jaringan  Nirkabel  ) SEM-6 SKS-3 D HP</v>
      </c>
      <c r="D125" s="14" t="str">
        <f>IF(J$121&gt;='TABLE SISTEM'!A$6,'TABLE MK'!I$21,"")</f>
        <v xml:space="preserve"> INF-55201-314</v>
      </c>
      <c r="E125" s="14" t="str">
        <f>IF(D125="","",(VLOOKUP(D125,Table6[[#All],[Kode MK]:[Mata Kuliah Prasayarat]],2,)))</f>
        <v>MK Pilihan Wajib  Jaringan (Jaringan  Nirkabel  )</v>
      </c>
      <c r="F125" s="15">
        <f>IF(D125="","",(VLOOKUP(D125,Table6[[#All],[Kode MK]:[Mata Kuliah Prasayarat]],3,)))</f>
        <v>6</v>
      </c>
      <c r="G125" s="15">
        <f>IF(D125="","",(VLOOKUP(D125,Table6[[#All],[Kode MK]:[Mata Kuliah Prasayarat]],4,)))</f>
        <v>3</v>
      </c>
      <c r="H125" s="15" t="str">
        <f>IF(D125="","","D")</f>
        <v>D</v>
      </c>
      <c r="I125" s="21" t="s">
        <v>132</v>
      </c>
      <c r="J125" s="17" t="str">
        <f>IF(I125="","",(VLOOKUP(I125,tbDosen[NAMA DOSEN]:tbDosen[[NAMA DOSEN]:[KODE]],2,)))</f>
        <v>HP</v>
      </c>
      <c r="K125" s="39" t="s">
        <v>105</v>
      </c>
      <c r="L125" s="17" t="str">
        <f>IF(K125="","",(VLOOKUP(K125,tbDosen[NAMA DOSEN]:tbDosen[[NAMA DOSEN]:[KODE]],2,)))</f>
        <v>-</v>
      </c>
      <c r="M125" s="16" t="str">
        <f>IF(OR(I125="",I125="None"),"",IF(OR(K125="",K125="None"),I125,I125&amp;" / "&amp;K125))</f>
        <v>Heri Priyanto,S.T., M.T.</v>
      </c>
      <c r="N125" s="16" t="str">
        <f t="shared" si="14"/>
        <v>HP</v>
      </c>
      <c r="O125" s="18">
        <f>IF(OR(I125="",I125="None"),"",IF(OR(K125="",K125="None"),G125,G125/2))</f>
        <v>3</v>
      </c>
      <c r="P125" s="61" t="str">
        <f t="shared" si="15"/>
        <v>TIDAK</v>
      </c>
      <c r="Q125" s="203" t="str">
        <f t="shared" si="8"/>
        <v/>
      </c>
      <c r="R125" s="203" t="str">
        <f t="shared" si="9"/>
        <v/>
      </c>
      <c r="S125" s="203" t="str">
        <f t="shared" si="10"/>
        <v/>
      </c>
      <c r="T125" s="203" t="str">
        <f t="shared" si="11"/>
        <v/>
      </c>
      <c r="U125" s="12">
        <v>1</v>
      </c>
      <c r="V125" s="11" t="str">
        <f t="shared" si="12"/>
        <v/>
      </c>
      <c r="W125" s="165">
        <f t="shared" si="13"/>
        <v>28</v>
      </c>
      <c r="X125" s="24"/>
    </row>
    <row r="126" spans="2:24" ht="45" customHeight="1" thickBot="1" x14ac:dyDescent="0.35">
      <c r="B126" s="24"/>
      <c r="C126" s="68" t="str">
        <f>IF(OR(I126="",I126="None"),"-",IF(OR(K126="",K126="None"),E126&amp;" "&amp;"SEM-"&amp;F126&amp;" "&amp;"SKS-"&amp;G126&amp;" "&amp;H126&amp;" "&amp;J126,E126&amp;" "&amp;"SEM-"&amp;F126&amp;" SKS-"&amp;G126&amp;" "&amp;"S"&amp;H126&amp;" "&amp;H126&amp;" "&amp;J126&amp;"/"&amp;L126))</f>
        <v>-</v>
      </c>
      <c r="D126" s="14" t="str">
        <f>IF(J$121&gt;='TABLE SISTEM'!A$7,'TABLE MK'!I$21,"")</f>
        <v/>
      </c>
      <c r="E126" s="14" t="str">
        <f>IF(D126="","",(VLOOKUP(D126,Table6[[#All],[Kode MK]:[Mata Kuliah Prasayarat]],2,)))</f>
        <v/>
      </c>
      <c r="F126" s="15" t="str">
        <f>IF(D126="","",(VLOOKUP(D126,Table6[[#All],[Kode MK]:[Mata Kuliah Prasayarat]],3,)))</f>
        <v/>
      </c>
      <c r="G126" s="15" t="str">
        <f>IF(D126="","",(VLOOKUP(D126,Table6[[#All],[Kode MK]:[Mata Kuliah Prasayarat]],4,)))</f>
        <v/>
      </c>
      <c r="H126" s="15" t="str">
        <f>IF(D126="","","E")</f>
        <v/>
      </c>
      <c r="I126" s="44" t="s">
        <v>105</v>
      </c>
      <c r="J126" s="17" t="str">
        <f>IF(I126="","",(VLOOKUP(I126,tbDosen[NAMA DOSEN]:tbDosen[[NAMA DOSEN]:[KODE]],2,)))</f>
        <v>-</v>
      </c>
      <c r="K126" s="39" t="s">
        <v>105</v>
      </c>
      <c r="L126" s="17" t="str">
        <f>IF(K126="","",(VLOOKUP(K126,tbDosen[NAMA DOSEN]:tbDosen[[NAMA DOSEN]:[KODE]],2,)))</f>
        <v>-</v>
      </c>
      <c r="M126" s="16" t="str">
        <f>IF(OR(I126="",I126="None"),"",IF(OR(K126="",K126="None"),I126,I126&amp;" / "&amp;K126))</f>
        <v/>
      </c>
      <c r="N126" s="16" t="str">
        <f t="shared" si="14"/>
        <v/>
      </c>
      <c r="O126" s="18" t="str">
        <f>IF(OR(I126="",I126="None"),"",IF(OR(K126="",K126="None"),G126,G126/2))</f>
        <v/>
      </c>
      <c r="P126" s="62" t="str">
        <f t="shared" si="15"/>
        <v/>
      </c>
      <c r="Q126" s="203" t="str">
        <f t="shared" si="8"/>
        <v/>
      </c>
      <c r="R126" s="203" t="str">
        <f t="shared" si="9"/>
        <v/>
      </c>
      <c r="S126" s="203" t="str">
        <f t="shared" si="10"/>
        <v/>
      </c>
      <c r="T126" s="203" t="str">
        <f t="shared" si="11"/>
        <v/>
      </c>
      <c r="U126" s="12">
        <v>0</v>
      </c>
      <c r="V126" s="11" t="str">
        <f t="shared" si="12"/>
        <v/>
      </c>
      <c r="W126" s="165">
        <f t="shared" si="13"/>
        <v>35</v>
      </c>
      <c r="X126" s="24"/>
    </row>
    <row r="127" spans="2:24" ht="45" customHeight="1" thickBot="1" x14ac:dyDescent="0.35">
      <c r="B127" s="24"/>
      <c r="C127" s="67"/>
      <c r="D127" s="41" t="s">
        <v>157</v>
      </c>
      <c r="E127" s="256" t="str">
        <f>'TABLE MK'!J22</f>
        <v>MK Pilihan Wajib Multimedia &amp; SIG (SIG)</v>
      </c>
      <c r="F127" s="256"/>
      <c r="G127" s="256"/>
      <c r="H127" s="256"/>
      <c r="I127" s="41" t="s">
        <v>95</v>
      </c>
      <c r="J127" s="40">
        <v>4</v>
      </c>
      <c r="K127" s="42"/>
      <c r="L127" s="43"/>
      <c r="M127" s="43" t="s">
        <v>161</v>
      </c>
      <c r="N127" s="45"/>
      <c r="O127" s="42"/>
      <c r="P127" s="63"/>
      <c r="Q127" s="203" t="str">
        <f t="shared" si="8"/>
        <v/>
      </c>
      <c r="R127" s="203" t="str">
        <f t="shared" si="9"/>
        <v/>
      </c>
      <c r="S127" s="203" t="str">
        <f t="shared" si="10"/>
        <v>Jumlah Kelas</v>
      </c>
      <c r="T127" s="203">
        <f t="shared" si="11"/>
        <v>0</v>
      </c>
      <c r="U127" s="12">
        <v>0</v>
      </c>
      <c r="V127" s="11" t="str">
        <f t="shared" si="12"/>
        <v/>
      </c>
      <c r="W127" s="165">
        <f t="shared" si="13"/>
        <v>35</v>
      </c>
      <c r="X127" s="24"/>
    </row>
    <row r="128" spans="2:24" ht="45" customHeight="1" thickBot="1" x14ac:dyDescent="0.35">
      <c r="B128" s="24"/>
      <c r="C128" s="68" t="str">
        <f>IF(OR(I128="",I128="None"),"-",IF(OR(K128="",K128="None"),E128&amp;" "&amp;"SEM-"&amp;F128&amp;" "&amp;"SKS-"&amp;G128&amp;" "&amp;H128&amp;" "&amp;J128,E128&amp;" "&amp;"SEM-"&amp;F128&amp;" SKS-"&amp;G128&amp;" "&amp;"S"&amp;H128&amp;" "&amp;H128&amp;" "&amp;J128&amp;"/"&amp;L128))</f>
        <v>MK Pilihan Wajib Multimedia &amp; SIG (SIG) SEM-6 SKS-3 SA A YS/AI</v>
      </c>
      <c r="D128" s="14" t="str">
        <f>IF(J$127&gt;='TABLE SISTEM'!A$3,'TABLE MK'!I$22,"")</f>
        <v xml:space="preserve"> INF-55201-315</v>
      </c>
      <c r="E128" s="14" t="str">
        <f>IF(D128="","",(VLOOKUP(D128,Table6[[#All],[Kode MK]:[Mata Kuliah Prasayarat]],2,)))</f>
        <v>MK Pilihan Wajib Multimedia &amp; SIG (SIG)</v>
      </c>
      <c r="F128" s="15">
        <f>IF(D128="","",(VLOOKUP(D128,Table6[[#All],[Kode MK]:[Mata Kuliah Prasayarat]],3,)))</f>
        <v>6</v>
      </c>
      <c r="G128" s="15">
        <f>IF(D128="","",(VLOOKUP(D128,Table6[[#All],[Kode MK]:[Mata Kuliah Prasayarat]],4,)))</f>
        <v>3</v>
      </c>
      <c r="H128" s="15" t="str">
        <f>IF(D128="","","A")</f>
        <v>A</v>
      </c>
      <c r="I128" s="21" t="s">
        <v>115</v>
      </c>
      <c r="J128" s="17" t="str">
        <f>IF(I128="","",(VLOOKUP(I128,tbDosen[NAMA DOSEN]:tbDosen[[NAMA DOSEN]:[KODE]],2,)))</f>
        <v>YS</v>
      </c>
      <c r="K128" s="21" t="s">
        <v>134</v>
      </c>
      <c r="L128" s="17" t="str">
        <f>IF(K128="","",(VLOOKUP(K128,tbDosen[NAMA DOSEN]:tbDosen[[NAMA DOSEN]:[KODE]],2,)))</f>
        <v>AI</v>
      </c>
      <c r="M128" s="16" t="str">
        <f>IF(OR(I128="",I128="None"),"",IF(OR(K128="",K128="None"),I128,I128&amp;" / "&amp;K128))</f>
        <v>Dr. Yus Sholva, S.T., M.T. / M.Azhar Irwansyah, S.T.,M.Eng.</v>
      </c>
      <c r="N128" s="16" t="str">
        <f t="shared" si="14"/>
        <v>YS / AI</v>
      </c>
      <c r="O128" s="18">
        <f>IF(OR(I128="",I128="None"),"",IF(OR(K128="",K128="None"),G128,G128/2))</f>
        <v>1.5</v>
      </c>
      <c r="P128" s="60" t="str">
        <f t="shared" si="15"/>
        <v>TIDAK</v>
      </c>
      <c r="Q128" s="203" t="str">
        <f t="shared" si="8"/>
        <v/>
      </c>
      <c r="R128" s="203" t="str">
        <f t="shared" si="9"/>
        <v/>
      </c>
      <c r="S128" s="203" t="str">
        <f t="shared" si="10"/>
        <v>Dr. Yus Sholva, S.T., M.T.</v>
      </c>
      <c r="T128" s="203" t="str">
        <f t="shared" si="11"/>
        <v>M.Azhar Irwansyah, S.T.,M.Eng.</v>
      </c>
      <c r="U128" s="12">
        <v>1</v>
      </c>
      <c r="V128" s="11" t="str">
        <f t="shared" si="12"/>
        <v/>
      </c>
      <c r="W128" s="165">
        <f t="shared" si="13"/>
        <v>28</v>
      </c>
      <c r="X128" s="24"/>
    </row>
    <row r="129" spans="2:24" ht="45" customHeight="1" thickBot="1" x14ac:dyDescent="0.35">
      <c r="B129" s="24"/>
      <c r="C129" s="68" t="str">
        <f>IF(OR(I129="",I129="None"),"-",IF(OR(K129="",K129="None"),E129&amp;" "&amp;"SEM-"&amp;F129&amp;" "&amp;"SKS-"&amp;G129&amp;" "&amp;H129&amp;" "&amp;J129,E129&amp;" "&amp;"SEM-"&amp;F129&amp;" SKS-"&amp;G129&amp;" "&amp;"S"&amp;H129&amp;" "&amp;H129&amp;" "&amp;J129&amp;"/"&amp;L129))</f>
        <v>MK Pilihan Wajib Multimedia &amp; SIG (SIG) SEM-6 SKS-3 SB B AI/YS</v>
      </c>
      <c r="D129" s="14" t="str">
        <f>IF(J$127&gt;='TABLE SISTEM'!A$4,'TABLE MK'!I$22,"")</f>
        <v xml:space="preserve"> INF-55201-315</v>
      </c>
      <c r="E129" s="14" t="str">
        <f>IF(D129="","",(VLOOKUP(D129,Table6[[#All],[Kode MK]:[Mata Kuliah Prasayarat]],2,)))</f>
        <v>MK Pilihan Wajib Multimedia &amp; SIG (SIG)</v>
      </c>
      <c r="F129" s="15">
        <f>IF(D129="","",(VLOOKUP(D129,Table6[[#All],[Kode MK]:[Mata Kuliah Prasayarat]],3,)))</f>
        <v>6</v>
      </c>
      <c r="G129" s="15">
        <f>IF(D129="","",(VLOOKUP(D129,Table6[[#All],[Kode MK]:[Mata Kuliah Prasayarat]],4,)))</f>
        <v>3</v>
      </c>
      <c r="H129" s="15" t="str">
        <f>IF(D129="","","B")</f>
        <v>B</v>
      </c>
      <c r="I129" s="21" t="s">
        <v>134</v>
      </c>
      <c r="J129" s="17" t="str">
        <f>IF(I129="","",(VLOOKUP(I129,tbDosen[NAMA DOSEN]:tbDosen[[NAMA DOSEN]:[KODE]],2,)))</f>
        <v>AI</v>
      </c>
      <c r="K129" s="21" t="s">
        <v>115</v>
      </c>
      <c r="L129" s="17" t="str">
        <f>IF(K129="","",(VLOOKUP(K129,tbDosen[NAMA DOSEN]:tbDosen[[NAMA DOSEN]:[KODE]],2,)))</f>
        <v>YS</v>
      </c>
      <c r="M129" s="16" t="str">
        <f>IF(OR(I129="",I129="None"),"",IF(OR(K129="",K129="None"),I129,I129&amp;" / "&amp;K129))</f>
        <v>M.Azhar Irwansyah, S.T.,M.Eng. / Dr. Yus Sholva, S.T., M.T.</v>
      </c>
      <c r="N129" s="16" t="str">
        <f t="shared" si="14"/>
        <v>AI / YS</v>
      </c>
      <c r="O129" s="18">
        <f>IF(OR(I129="",I129="None"),"",IF(OR(K129="",K129="None"),G129,G129/2))</f>
        <v>1.5</v>
      </c>
      <c r="P129" s="61" t="str">
        <f t="shared" si="15"/>
        <v>TIDAK</v>
      </c>
      <c r="Q129" s="203" t="str">
        <f t="shared" si="8"/>
        <v/>
      </c>
      <c r="R129" s="203" t="str">
        <f t="shared" si="9"/>
        <v/>
      </c>
      <c r="S129" s="203" t="str">
        <f t="shared" si="10"/>
        <v>M.Azhar Irwansyah, S.T.,M.Eng.</v>
      </c>
      <c r="T129" s="203" t="str">
        <f t="shared" si="11"/>
        <v>Dr. Yus Sholva, S.T., M.T.</v>
      </c>
      <c r="U129" s="12">
        <v>1</v>
      </c>
      <c r="V129" s="11" t="str">
        <f t="shared" si="12"/>
        <v/>
      </c>
      <c r="W129" s="165">
        <f t="shared" si="13"/>
        <v>28</v>
      </c>
      <c r="X129" s="24"/>
    </row>
    <row r="130" spans="2:24" ht="45" customHeight="1" thickBot="1" x14ac:dyDescent="0.35">
      <c r="B130" s="24"/>
      <c r="C130" s="68" t="str">
        <f>IF(OR(I130="",I130="None"),"-",IF(OR(K130="",K130="None"),E130&amp;" "&amp;"SEM-"&amp;F130&amp;" "&amp;"SKS-"&amp;G130&amp;" "&amp;H130&amp;" "&amp;J130,E130&amp;" "&amp;"SEM-"&amp;F130&amp;" SKS-"&amp;G130&amp;" "&amp;"S"&amp;H130&amp;" "&amp;H130&amp;" "&amp;J130&amp;"/"&amp;L130))</f>
        <v>MK Pilihan Wajib Multimedia &amp; SIG (SIG) SEM-6 SKS-3 SC C YS/AI</v>
      </c>
      <c r="D130" s="14" t="str">
        <f>IF(J$127&gt;='TABLE SISTEM'!A$5,'TABLE MK'!I$22,"")</f>
        <v xml:space="preserve"> INF-55201-315</v>
      </c>
      <c r="E130" s="14" t="str">
        <f>IF(D130="","",(VLOOKUP(D130,Table6[[#All],[Kode MK]:[Mata Kuliah Prasayarat]],2,)))</f>
        <v>MK Pilihan Wajib Multimedia &amp; SIG (SIG)</v>
      </c>
      <c r="F130" s="15">
        <f>IF(D130="","",(VLOOKUP(D130,Table6[[#All],[Kode MK]:[Mata Kuliah Prasayarat]],3,)))</f>
        <v>6</v>
      </c>
      <c r="G130" s="15">
        <f>IF(D130="","",(VLOOKUP(D130,Table6[[#All],[Kode MK]:[Mata Kuliah Prasayarat]],4,)))</f>
        <v>3</v>
      </c>
      <c r="H130" s="15" t="str">
        <f>IF(D130="","","C")</f>
        <v>C</v>
      </c>
      <c r="I130" s="21" t="s">
        <v>115</v>
      </c>
      <c r="J130" s="17" t="str">
        <f>IF(I130="","",(VLOOKUP(I130,tbDosen[NAMA DOSEN]:tbDosen[[NAMA DOSEN]:[KODE]],2,)))</f>
        <v>YS</v>
      </c>
      <c r="K130" s="21" t="s">
        <v>134</v>
      </c>
      <c r="L130" s="17" t="str">
        <f>IF(K130="","",(VLOOKUP(K130,tbDosen[NAMA DOSEN]:tbDosen[[NAMA DOSEN]:[KODE]],2,)))</f>
        <v>AI</v>
      </c>
      <c r="M130" s="16" t="str">
        <f>IF(OR(I130="",I130="None"),"",IF(OR(K130="",K130="None"),I130,I130&amp;" / "&amp;K130))</f>
        <v>Dr. Yus Sholva, S.T., M.T. / M.Azhar Irwansyah, S.T.,M.Eng.</v>
      </c>
      <c r="N130" s="16" t="str">
        <f t="shared" si="14"/>
        <v>YS / AI</v>
      </c>
      <c r="O130" s="18">
        <f>IF(OR(I130="",I130="None"),"",IF(OR(K130="",K130="None"),G130,G130/2))</f>
        <v>1.5</v>
      </c>
      <c r="P130" s="61" t="str">
        <f t="shared" si="15"/>
        <v>TIDAK</v>
      </c>
      <c r="Q130" s="203" t="str">
        <f t="shared" si="8"/>
        <v/>
      </c>
      <c r="R130" s="203" t="str">
        <f t="shared" si="9"/>
        <v/>
      </c>
      <c r="S130" s="203" t="str">
        <f t="shared" si="10"/>
        <v>Dr. Yus Sholva, S.T., M.T.</v>
      </c>
      <c r="T130" s="203" t="str">
        <f t="shared" si="11"/>
        <v>M.Azhar Irwansyah, S.T.,M.Eng.</v>
      </c>
      <c r="U130" s="12">
        <v>1</v>
      </c>
      <c r="V130" s="11" t="str">
        <f t="shared" si="12"/>
        <v/>
      </c>
      <c r="W130" s="165">
        <f t="shared" si="13"/>
        <v>28</v>
      </c>
      <c r="X130" s="24"/>
    </row>
    <row r="131" spans="2:24" ht="45" customHeight="1" thickBot="1" x14ac:dyDescent="0.35">
      <c r="B131" s="24"/>
      <c r="C131" s="68" t="str">
        <f>IF(OR(I131="",I131="None"),"-",IF(OR(K131="",K131="None"),E131&amp;" "&amp;"SEM-"&amp;F131&amp;" "&amp;"SKS-"&amp;G131&amp;" "&amp;H131&amp;" "&amp;J131,E131&amp;" "&amp;"SEM-"&amp;F131&amp;" SKS-"&amp;G131&amp;" "&amp;"S"&amp;H131&amp;" "&amp;H131&amp;" "&amp;J131&amp;"/"&amp;L131))</f>
        <v>MK Pilihan Wajib Multimedia &amp; SIG (SIG) SEM-6 SKS-3 SD D AI/YS</v>
      </c>
      <c r="D131" s="14" t="str">
        <f>IF(J$127&gt;='TABLE SISTEM'!A$6,'TABLE MK'!I$22,"")</f>
        <v xml:space="preserve"> INF-55201-315</v>
      </c>
      <c r="E131" s="14" t="str">
        <f>IF(D131="","",(VLOOKUP(D131,Table6[[#All],[Kode MK]:[Mata Kuliah Prasayarat]],2,)))</f>
        <v>MK Pilihan Wajib Multimedia &amp; SIG (SIG)</v>
      </c>
      <c r="F131" s="15">
        <f>IF(D131="","",(VLOOKUP(D131,Table6[[#All],[Kode MK]:[Mata Kuliah Prasayarat]],3,)))</f>
        <v>6</v>
      </c>
      <c r="G131" s="15">
        <f>IF(D131="","",(VLOOKUP(D131,Table6[[#All],[Kode MK]:[Mata Kuliah Prasayarat]],4,)))</f>
        <v>3</v>
      </c>
      <c r="H131" s="15" t="str">
        <f>IF(D131="","","D")</f>
        <v>D</v>
      </c>
      <c r="I131" s="21" t="s">
        <v>134</v>
      </c>
      <c r="J131" s="17" t="str">
        <f>IF(I131="","",(VLOOKUP(I131,tbDosen[NAMA DOSEN]:tbDosen[[NAMA DOSEN]:[KODE]],2,)))</f>
        <v>AI</v>
      </c>
      <c r="K131" s="21" t="s">
        <v>115</v>
      </c>
      <c r="L131" s="17" t="str">
        <f>IF(K131="","",(VLOOKUP(K131,tbDosen[NAMA DOSEN]:tbDosen[[NAMA DOSEN]:[KODE]],2,)))</f>
        <v>YS</v>
      </c>
      <c r="M131" s="16" t="str">
        <f>IF(OR(I131="",I131="None"),"",IF(OR(K131="",K131="None"),I131,I131&amp;" / "&amp;K131))</f>
        <v>M.Azhar Irwansyah, S.T.,M.Eng. / Dr. Yus Sholva, S.T., M.T.</v>
      </c>
      <c r="N131" s="16" t="str">
        <f t="shared" si="14"/>
        <v>AI / YS</v>
      </c>
      <c r="O131" s="18">
        <f>IF(OR(I131="",I131="None"),"",IF(OR(K131="",K131="None"),G131,G131/2))</f>
        <v>1.5</v>
      </c>
      <c r="P131" s="61" t="str">
        <f t="shared" si="15"/>
        <v>TIDAK</v>
      </c>
      <c r="Q131" s="203" t="str">
        <f t="shared" si="8"/>
        <v/>
      </c>
      <c r="R131" s="203" t="str">
        <f t="shared" si="9"/>
        <v/>
      </c>
      <c r="S131" s="203" t="str">
        <f t="shared" si="10"/>
        <v>M.Azhar Irwansyah, S.T.,M.Eng.</v>
      </c>
      <c r="T131" s="203" t="str">
        <f t="shared" si="11"/>
        <v>Dr. Yus Sholva, S.T., M.T.</v>
      </c>
      <c r="U131" s="12">
        <v>1</v>
      </c>
      <c r="V131" s="11" t="str">
        <f t="shared" si="12"/>
        <v/>
      </c>
      <c r="W131" s="165">
        <f t="shared" si="13"/>
        <v>28</v>
      </c>
      <c r="X131" s="24"/>
    </row>
    <row r="132" spans="2:24" ht="45" customHeight="1" x14ac:dyDescent="0.3">
      <c r="B132" s="24"/>
      <c r="C132" s="68" t="str">
        <f>IF(OR(I132="",I132="None"),"-",IF(OR(K132="",K132="None"),E132&amp;" "&amp;"SEM-"&amp;F132&amp;" "&amp;"SKS-"&amp;G132&amp;" "&amp;H132&amp;" "&amp;J132,E132&amp;" "&amp;"SEM-"&amp;F132&amp;" SKS-"&amp;G132&amp;" "&amp;"S"&amp;H132&amp;" "&amp;H132&amp;" "&amp;J132&amp;"/"&amp;L132))</f>
        <v>-</v>
      </c>
      <c r="D132" s="14" t="str">
        <f>IF(J$127&gt;='TABLE SISTEM'!A$7,'TABLE MK'!I$22,"")</f>
        <v/>
      </c>
      <c r="E132" s="14" t="str">
        <f>IF(D132="","",(VLOOKUP(D132,Table6[[#All],[Kode MK]:[Mata Kuliah Prasayarat]],2,)))</f>
        <v/>
      </c>
      <c r="F132" s="15" t="str">
        <f>IF(D132="","",(VLOOKUP(D132,Table6[[#All],[Kode MK]:[Mata Kuliah Prasayarat]],3,)))</f>
        <v/>
      </c>
      <c r="G132" s="15" t="str">
        <f>IF(D132="","",(VLOOKUP(D132,Table6[[#All],[Kode MK]:[Mata Kuliah Prasayarat]],4,)))</f>
        <v/>
      </c>
      <c r="H132" s="15" t="str">
        <f>IF(D132="","","E")</f>
        <v/>
      </c>
      <c r="I132" s="44" t="s">
        <v>105</v>
      </c>
      <c r="J132" s="17" t="str">
        <f>IF(I132="","",(VLOOKUP(I132,tbDosen[NAMA DOSEN]:tbDosen[[NAMA DOSEN]:[KODE]],2,)))</f>
        <v>-</v>
      </c>
      <c r="K132" s="44" t="s">
        <v>105</v>
      </c>
      <c r="L132" s="17" t="str">
        <f>IF(K132="","",(VLOOKUP(K132,tbDosen[NAMA DOSEN]:tbDosen[[NAMA DOSEN]:[KODE]],2,)))</f>
        <v>-</v>
      </c>
      <c r="M132" s="16" t="str">
        <f>IF(OR(I132="",I132="None"),"",IF(OR(K132="",K132="None"),I132,I132&amp;" / "&amp;K132))</f>
        <v/>
      </c>
      <c r="N132" s="16" t="str">
        <f t="shared" si="14"/>
        <v/>
      </c>
      <c r="O132" s="18" t="str">
        <f>IF(OR(I132="",I132="None"),"",IF(OR(K132="",K132="None"),G132,G132/2))</f>
        <v/>
      </c>
      <c r="P132" s="62" t="str">
        <f t="shared" si="15"/>
        <v/>
      </c>
      <c r="Q132" s="203" t="str">
        <f t="shared" si="8"/>
        <v/>
      </c>
      <c r="R132" s="203" t="str">
        <f t="shared" si="9"/>
        <v/>
      </c>
      <c r="S132" s="203" t="str">
        <f t="shared" si="10"/>
        <v/>
      </c>
      <c r="T132" s="203" t="str">
        <f t="shared" si="11"/>
        <v/>
      </c>
      <c r="U132" s="12">
        <v>0</v>
      </c>
      <c r="V132" s="11" t="str">
        <f t="shared" si="12"/>
        <v/>
      </c>
      <c r="W132" s="165">
        <f t="shared" si="13"/>
        <v>35</v>
      </c>
      <c r="X132" s="24"/>
    </row>
    <row r="133" spans="2:24" ht="45" customHeight="1" thickBot="1" x14ac:dyDescent="0.35">
      <c r="B133" s="24"/>
      <c r="C133" s="67"/>
      <c r="D133" s="41" t="s">
        <v>157</v>
      </c>
      <c r="E133" s="256" t="str">
        <f>'TABLE MK'!J23</f>
        <v>Proyek Perangkat  Lunak*</v>
      </c>
      <c r="F133" s="256"/>
      <c r="G133" s="256"/>
      <c r="H133" s="256"/>
      <c r="I133" s="41" t="s">
        <v>95</v>
      </c>
      <c r="J133" s="40">
        <v>3</v>
      </c>
      <c r="K133" s="42"/>
      <c r="L133" s="43"/>
      <c r="M133" s="43" t="s">
        <v>161</v>
      </c>
      <c r="N133" s="45"/>
      <c r="O133" s="42"/>
      <c r="P133" s="63"/>
      <c r="Q133" s="203" t="str">
        <f t="shared" si="8"/>
        <v/>
      </c>
      <c r="R133" s="203" t="str">
        <f t="shared" si="9"/>
        <v/>
      </c>
      <c r="S133" s="203" t="str">
        <f t="shared" si="10"/>
        <v>Jumlah Kelas</v>
      </c>
      <c r="T133" s="203">
        <f t="shared" si="11"/>
        <v>0</v>
      </c>
      <c r="U133" s="12">
        <v>0</v>
      </c>
      <c r="V133" s="11" t="str">
        <f t="shared" si="12"/>
        <v/>
      </c>
      <c r="W133" s="165">
        <f t="shared" si="13"/>
        <v>35</v>
      </c>
      <c r="X133" s="24"/>
    </row>
    <row r="134" spans="2:24" ht="45" customHeight="1" thickBot="1" x14ac:dyDescent="0.35">
      <c r="B134" s="24"/>
      <c r="C134" s="68" t="str">
        <f>IF(OR(I134="",I134="None"),"-",IF(OR(K134="",K134="None"),E134&amp;" "&amp;"SEM-"&amp;F134&amp;" "&amp;"SKS-"&amp;G134&amp;" "&amp;H134&amp;" "&amp;J134,E134&amp;" "&amp;"SEM-"&amp;F134&amp;" SKS-"&amp;G134&amp;" "&amp;"S"&amp;H134&amp;" "&amp;H134&amp;" "&amp;J134&amp;"/"&amp;L134))</f>
        <v>Proyek Perangkat  Lunak* SEM-6 SKS-4 SA A AP/DIU</v>
      </c>
      <c r="D134" s="14" t="str">
        <f>IF(J$133&gt;='TABLE SISTEM'!A$3,'TABLE MK'!I$23,"")</f>
        <v xml:space="preserve"> INF-55201-316</v>
      </c>
      <c r="E134" s="14" t="str">
        <f>IF(D134="","",(VLOOKUP(D134,Table6[[#All],[Kode MK]:[Mata Kuliah Prasayarat]],2,)))</f>
        <v>Proyek Perangkat  Lunak*</v>
      </c>
      <c r="F134" s="15">
        <f>IF(D134="","",(VLOOKUP(D134,Table6[[#All],[Kode MK]:[Mata Kuliah Prasayarat]],3,)))</f>
        <v>6</v>
      </c>
      <c r="G134" s="15">
        <f>IF(D134="","",(VLOOKUP(D134,Table6[[#All],[Kode MK]:[Mata Kuliah Prasayarat]],4,)))</f>
        <v>4</v>
      </c>
      <c r="H134" s="15" t="str">
        <f>IF(D134="","","A")</f>
        <v>A</v>
      </c>
      <c r="I134" s="21" t="s">
        <v>107</v>
      </c>
      <c r="J134" s="17" t="str">
        <f>IF(I134="","",(VLOOKUP(I134,tbDosen[NAMA DOSEN]:tbDosen[[NAMA DOSEN]:[KODE]],2,)))</f>
        <v>AP</v>
      </c>
      <c r="K134" s="39" t="s">
        <v>335</v>
      </c>
      <c r="L134" s="17" t="str">
        <f>IF(K134="","",(VLOOKUP(K134,tbDosen[NAMA DOSEN]:tbDosen[[NAMA DOSEN]:[KODE]],2,)))</f>
        <v>DIU</v>
      </c>
      <c r="M134" s="16" t="str">
        <f>IF(OR(I134="",I134="None"),"",IF(OR(K134="",K134="None"),I134,I134&amp;" / "&amp;K134))</f>
        <v>Anggi Perwitasari, S.T., M.T. / Desepta Isna Ulumi, S.Kom, M.Kom.</v>
      </c>
      <c r="N134" s="16" t="str">
        <f t="shared" si="14"/>
        <v>AP / DIU</v>
      </c>
      <c r="O134" s="18">
        <f>IF(OR(I134="",I134="None"),"",IF(OR(K134="",K134="None"),G134,G134/2))</f>
        <v>2</v>
      </c>
      <c r="P134" s="60" t="str">
        <f>IF(D134="","",(IF(AND(G134=4,U134&lt;2),"ADA",IF(AND(G134&lt;4,U134=0),"ADA","TIDAK"))))</f>
        <v>TIDAK</v>
      </c>
      <c r="Q134" s="203" t="str">
        <f t="shared" si="8"/>
        <v>Anggi Perwitasari, S.T., M.T.</v>
      </c>
      <c r="R134" s="203" t="str">
        <f t="shared" si="9"/>
        <v>Desepta Isna Ulumi, S.Kom, M.Kom.</v>
      </c>
      <c r="S134" s="203" t="str">
        <f t="shared" si="10"/>
        <v>Anggi Perwitasari, S.T., M.T.</v>
      </c>
      <c r="T134" s="203" t="str">
        <f t="shared" si="11"/>
        <v>Desepta Isna Ulumi, S.Kom, M.Kom.</v>
      </c>
      <c r="U134" s="12">
        <v>2</v>
      </c>
      <c r="V134" s="11" t="str">
        <f t="shared" si="12"/>
        <v/>
      </c>
      <c r="W134" s="165">
        <f t="shared" si="13"/>
        <v>35</v>
      </c>
      <c r="X134" s="24"/>
    </row>
    <row r="135" spans="2:24" ht="45" customHeight="1" thickBot="1" x14ac:dyDescent="0.35">
      <c r="B135" s="24"/>
      <c r="C135" s="68" t="str">
        <f>IF(OR(I135="",I135="None"),"-",IF(OR(K135="",K135="None"),E135&amp;" "&amp;"SEM-"&amp;F135&amp;" "&amp;"SKS-"&amp;G135&amp;" "&amp;H135&amp;" "&amp;J135,E135&amp;" "&amp;"SEM-"&amp;F135&amp;" SKS-"&amp;G135&amp;" "&amp;"S"&amp;H135&amp;" "&amp;H135&amp;" "&amp;J135&amp;"/"&amp;L135))</f>
        <v>Proyek Perangkat  Lunak* SEM-6 SKS-4 SB B AP/DIU</v>
      </c>
      <c r="D135" s="14" t="str">
        <f>IF(J$133&gt;='TABLE SISTEM'!A$4,'TABLE MK'!I$23,"")</f>
        <v xml:space="preserve"> INF-55201-316</v>
      </c>
      <c r="E135" s="14" t="str">
        <f>IF(D135="","",(VLOOKUP(D135,Table6[[#All],[Kode MK]:[Mata Kuliah Prasayarat]],2,)))</f>
        <v>Proyek Perangkat  Lunak*</v>
      </c>
      <c r="F135" s="15">
        <f>IF(D135="","",(VLOOKUP(D135,Table6[[#All],[Kode MK]:[Mata Kuliah Prasayarat]],3,)))</f>
        <v>6</v>
      </c>
      <c r="G135" s="15">
        <f>IF(D135="","",(VLOOKUP(D135,Table6[[#All],[Kode MK]:[Mata Kuliah Prasayarat]],4,)))</f>
        <v>4</v>
      </c>
      <c r="H135" s="15" t="str">
        <f>IF(D135="","","B")</f>
        <v>B</v>
      </c>
      <c r="I135" s="21" t="s">
        <v>107</v>
      </c>
      <c r="J135" s="17" t="str">
        <f>IF(I135="","",(VLOOKUP(I135,tbDosen[NAMA DOSEN]:tbDosen[[NAMA DOSEN]:[KODE]],2,)))</f>
        <v>AP</v>
      </c>
      <c r="K135" s="39" t="s">
        <v>335</v>
      </c>
      <c r="L135" s="17" t="str">
        <f>IF(K135="","",(VLOOKUP(K135,tbDosen[NAMA DOSEN]:tbDosen[[NAMA DOSEN]:[KODE]],2,)))</f>
        <v>DIU</v>
      </c>
      <c r="M135" s="16" t="str">
        <f>IF(OR(I135="",I135="None"),"",IF(OR(K135="",K135="None"),I135,I135&amp;" / "&amp;K135))</f>
        <v>Anggi Perwitasari, S.T., M.T. / Desepta Isna Ulumi, S.Kom, M.Kom.</v>
      </c>
      <c r="N135" s="16" t="str">
        <f t="shared" si="14"/>
        <v>AP / DIU</v>
      </c>
      <c r="O135" s="18">
        <f>IF(OR(I135="",I135="None"),"",IF(OR(K135="",K135="None"),G135,G135/2))</f>
        <v>2</v>
      </c>
      <c r="P135" s="61" t="str">
        <f>IF(D135="","",(IF(AND(G135=4,U135&lt;2),"ADA",IF(AND(G135&lt;4,U135=0),"ADA","TIDAK"))))</f>
        <v>TIDAK</v>
      </c>
      <c r="Q135" s="203" t="str">
        <f t="shared" si="8"/>
        <v>Anggi Perwitasari, S.T., M.T.</v>
      </c>
      <c r="R135" s="203" t="str">
        <f t="shared" si="9"/>
        <v>Desepta Isna Ulumi, S.Kom, M.Kom.</v>
      </c>
      <c r="S135" s="203" t="str">
        <f t="shared" si="10"/>
        <v>Anggi Perwitasari, S.T., M.T.</v>
      </c>
      <c r="T135" s="203" t="str">
        <f t="shared" si="11"/>
        <v>Desepta Isna Ulumi, S.Kom, M.Kom.</v>
      </c>
      <c r="U135" s="12">
        <v>2</v>
      </c>
      <c r="V135" s="11" t="str">
        <f t="shared" si="12"/>
        <v/>
      </c>
      <c r="W135" s="165">
        <f t="shared" si="13"/>
        <v>35</v>
      </c>
      <c r="X135" s="24"/>
    </row>
    <row r="136" spans="2:24" ht="45" customHeight="1" thickBot="1" x14ac:dyDescent="0.35">
      <c r="B136" s="24"/>
      <c r="C136" s="68" t="str">
        <f>IF(OR(I136="",I136="None"),"-",IF(OR(K136="",K136="None"),E136&amp;" "&amp;"SEM-"&amp;F136&amp;" "&amp;"SKS-"&amp;G136&amp;" "&amp;H136&amp;" "&amp;J136,E136&amp;" "&amp;"SEM-"&amp;F136&amp;" SKS-"&amp;G136&amp;" "&amp;"S"&amp;H136&amp;" "&amp;H136&amp;" "&amp;J136&amp;"/"&amp;L136))</f>
        <v>Proyek Perangkat  Lunak* SEM-6 SKS-4 C NS</v>
      </c>
      <c r="D136" s="14" t="str">
        <f>IF(J$133&gt;='TABLE SISTEM'!A$5,'TABLE MK'!I$23,"")</f>
        <v xml:space="preserve"> INF-55201-316</v>
      </c>
      <c r="E136" s="14" t="str">
        <f>IF(D136="","",(VLOOKUP(D136,Table6[[#All],[Kode MK]:[Mata Kuliah Prasayarat]],2,)))</f>
        <v>Proyek Perangkat  Lunak*</v>
      </c>
      <c r="F136" s="15">
        <f>IF(D136="","",(VLOOKUP(D136,Table6[[#All],[Kode MK]:[Mata Kuliah Prasayarat]],3,)))</f>
        <v>6</v>
      </c>
      <c r="G136" s="15">
        <f>IF(D136="","",(VLOOKUP(D136,Table6[[#All],[Kode MK]:[Mata Kuliah Prasayarat]],4,)))</f>
        <v>4</v>
      </c>
      <c r="H136" s="15" t="str">
        <f>IF(D136="","","C")</f>
        <v>C</v>
      </c>
      <c r="I136" s="21" t="s">
        <v>139</v>
      </c>
      <c r="J136" s="17" t="str">
        <f>IF(I136="","",(VLOOKUP(I136,tbDosen[NAMA DOSEN]:tbDosen[[NAMA DOSEN]:[KODE]],2,)))</f>
        <v>NS</v>
      </c>
      <c r="K136" s="44" t="s">
        <v>105</v>
      </c>
      <c r="L136" s="17" t="str">
        <f>IF(K136="","",(VLOOKUP(K136,tbDosen[NAMA DOSEN]:tbDosen[[NAMA DOSEN]:[KODE]],2,)))</f>
        <v>-</v>
      </c>
      <c r="M136" s="16" t="str">
        <f>IF(OR(I136="",I136="None"),"",IF(OR(K136="",K136="None"),I136,I136&amp;" / "&amp;K136))</f>
        <v>Novi Safriadi, S.T., M.T.</v>
      </c>
      <c r="N136" s="16" t="str">
        <f t="shared" si="14"/>
        <v>NS</v>
      </c>
      <c r="O136" s="18">
        <f>IF(OR(I136="",I136="None"),"",IF(OR(K136="",K136="None"),G136,G136/2))</f>
        <v>4</v>
      </c>
      <c r="P136" s="61" t="str">
        <f>IF(D136="","",(IF(AND(G136=4,U136&lt;2),"ADA",IF(AND(G136&lt;4,U136=0),"ADA","TIDAK"))))</f>
        <v>TIDAK</v>
      </c>
      <c r="Q136" s="203" t="str">
        <f t="shared" si="8"/>
        <v>Novi Safriadi, S.T., M.T.</v>
      </c>
      <c r="R136" s="203" t="str">
        <f t="shared" si="9"/>
        <v>None</v>
      </c>
      <c r="S136" s="203" t="str">
        <f t="shared" si="10"/>
        <v/>
      </c>
      <c r="T136" s="203" t="str">
        <f t="shared" si="11"/>
        <v/>
      </c>
      <c r="U136" s="12">
        <v>2</v>
      </c>
      <c r="V136" s="11" t="str">
        <f t="shared" si="12"/>
        <v/>
      </c>
      <c r="W136" s="165">
        <f t="shared" si="13"/>
        <v>35</v>
      </c>
      <c r="X136" s="24"/>
    </row>
    <row r="137" spans="2:24" ht="45" customHeight="1" thickBot="1" x14ac:dyDescent="0.35">
      <c r="B137" s="24"/>
      <c r="C137" s="68" t="str">
        <f>IF(OR(I137="",I137="None"),"-",IF(OR(K137="",K137="None"),E137&amp;" "&amp;"SEM-"&amp;F137&amp;" "&amp;"SKS-"&amp;G137&amp;" "&amp;H137&amp;" "&amp;J137,E137&amp;" "&amp;"SEM-"&amp;F137&amp;" SKS-"&amp;G137&amp;" "&amp;"S"&amp;H137&amp;" "&amp;H137&amp;" "&amp;J137&amp;"/"&amp;L137))</f>
        <v>-</v>
      </c>
      <c r="D137" s="14" t="str">
        <f>IF(J$133&gt;='TABLE SISTEM'!A$6,'TABLE MK'!I$23,"")</f>
        <v/>
      </c>
      <c r="E137" s="14" t="str">
        <f>IF(D137="","",(VLOOKUP(D137,Table6[[#All],[Kode MK]:[Mata Kuliah Prasayarat]],2,)))</f>
        <v/>
      </c>
      <c r="F137" s="15" t="str">
        <f>IF(D137="","",(VLOOKUP(D137,Table6[[#All],[Kode MK]:[Mata Kuliah Prasayarat]],3,)))</f>
        <v/>
      </c>
      <c r="G137" s="15" t="str">
        <f>IF(D137="","",(VLOOKUP(D137,Table6[[#All],[Kode MK]:[Mata Kuliah Prasayarat]],4,)))</f>
        <v/>
      </c>
      <c r="H137" s="15" t="str">
        <f>IF(D137="","","D")</f>
        <v/>
      </c>
      <c r="I137" s="44" t="s">
        <v>105</v>
      </c>
      <c r="J137" s="17" t="str">
        <f>IF(I137="","",(VLOOKUP(I137,tbDosen[NAMA DOSEN]:tbDosen[[NAMA DOSEN]:[KODE]],2,)))</f>
        <v>-</v>
      </c>
      <c r="K137" s="44" t="s">
        <v>105</v>
      </c>
      <c r="L137" s="17" t="str">
        <f>IF(K137="","",(VLOOKUP(K137,tbDosen[NAMA DOSEN]:tbDosen[[NAMA DOSEN]:[KODE]],2,)))</f>
        <v>-</v>
      </c>
      <c r="M137" s="16" t="str">
        <f>IF(OR(I137="",I137="None"),"",IF(OR(K137="",K137="None"),I137,I137&amp;" / "&amp;K137))</f>
        <v/>
      </c>
      <c r="N137" s="16" t="str">
        <f t="shared" si="14"/>
        <v/>
      </c>
      <c r="O137" s="18" t="str">
        <f>IF(OR(I137="",I137="None"),"",IF(OR(K137="",K137="None"),G137,G137/2))</f>
        <v/>
      </c>
      <c r="P137" s="61" t="str">
        <f>IF(D137="","",(IF(AND(G137=4,U137&lt;2),"ADA",IF(AND(G137&lt;4,U137=0),"ADA","TIDAK"))))</f>
        <v/>
      </c>
      <c r="Q137" s="203" t="str">
        <f t="shared" ref="Q137:Q144" si="16">IF(G137=4,I137,"")</f>
        <v/>
      </c>
      <c r="R137" s="203" t="str">
        <f t="shared" ref="R137:R144" si="17">IF(G137=4,K137,"")</f>
        <v/>
      </c>
      <c r="S137" s="203" t="str">
        <f t="shared" ref="S137:S144" si="18">IF(AND(I137&lt;&gt;"None",K137&lt;&gt;"None"),I137,"")</f>
        <v/>
      </c>
      <c r="T137" s="203" t="str">
        <f t="shared" ref="T137:T144" si="19">IF(AND(I137&lt;&gt;"None",K137&lt;&gt;"None"),K137,"")</f>
        <v/>
      </c>
      <c r="U137" s="12">
        <v>0</v>
      </c>
      <c r="V137" s="11" t="str">
        <f t="shared" ref="V137:V144" si="20">IF(P137="ADA",C137,"")</f>
        <v/>
      </c>
      <c r="W137" s="165">
        <f t="shared" ref="W137:W144" si="21">IF(U137=1,28,35)</f>
        <v>35</v>
      </c>
      <c r="X137" s="24"/>
    </row>
    <row r="138" spans="2:24" ht="45" customHeight="1" x14ac:dyDescent="0.3">
      <c r="B138" s="24"/>
      <c r="C138" s="68" t="str">
        <f>IF(OR(I138="",I138="None"),"-",IF(OR(K138="",K138="None"),E138&amp;" "&amp;"SEM-"&amp;F138&amp;" "&amp;"SKS-"&amp;G138&amp;" "&amp;H138&amp;" "&amp;J138,E138&amp;" "&amp;"SEM-"&amp;F138&amp;" SKS-"&amp;G138&amp;" "&amp;"S"&amp;H138&amp;" "&amp;H138&amp;" "&amp;J138&amp;"/"&amp;L138))</f>
        <v>-</v>
      </c>
      <c r="D138" s="14" t="str">
        <f>IF(J$133&gt;='TABLE SISTEM'!A$7,'TABLE MK'!I$23,"")</f>
        <v/>
      </c>
      <c r="E138" s="14" t="str">
        <f>IF(D138="","",(VLOOKUP(D138,Table6[[#All],[Kode MK]:[Mata Kuliah Prasayarat]],2,)))</f>
        <v/>
      </c>
      <c r="F138" s="15" t="str">
        <f>IF(D138="","",(VLOOKUP(D138,Table6[[#All],[Kode MK]:[Mata Kuliah Prasayarat]],3,)))</f>
        <v/>
      </c>
      <c r="G138" s="15" t="str">
        <f>IF(D138="","",(VLOOKUP(D138,Table6[[#All],[Kode MK]:[Mata Kuliah Prasayarat]],4,)))</f>
        <v/>
      </c>
      <c r="H138" s="15" t="str">
        <f>IF(D138="","","E")</f>
        <v/>
      </c>
      <c r="I138" s="44" t="s">
        <v>105</v>
      </c>
      <c r="J138" s="17" t="str">
        <f>IF(I138="","",(VLOOKUP(I138,tbDosen[NAMA DOSEN]:tbDosen[[NAMA DOSEN]:[KODE]],2,)))</f>
        <v>-</v>
      </c>
      <c r="K138" s="44" t="s">
        <v>105</v>
      </c>
      <c r="L138" s="17" t="str">
        <f>IF(K138="","",(VLOOKUP(K138,tbDosen[NAMA DOSEN]:tbDosen[[NAMA DOSEN]:[KODE]],2,)))</f>
        <v>-</v>
      </c>
      <c r="M138" s="16" t="str">
        <f>IF(OR(I138="",I138="None"),"",IF(OR(K138="",K138="None"),I138,I138&amp;" / "&amp;K138))</f>
        <v/>
      </c>
      <c r="N138" s="16" t="str">
        <f t="shared" ref="N138:N144" si="22">IF(AND(J138&lt;&gt;"-",L138&lt;&gt;"-"),J138&amp;" / "&amp;L138,IF(AND(J138&lt;&gt;"-",L138="-"),J138,""))</f>
        <v/>
      </c>
      <c r="O138" s="18" t="str">
        <f>IF(OR(I138="",I138="None"),"",IF(OR(K138="",K138="None"),G138,G138/2))</f>
        <v/>
      </c>
      <c r="P138" s="62" t="str">
        <f>IF(D138="","",(IF(AND(G138=4,U138&lt;2),"ADA",IF(AND(G138&lt;4,U138=0),"ADA","TIDAK"))))</f>
        <v/>
      </c>
      <c r="Q138" s="203" t="str">
        <f t="shared" si="16"/>
        <v/>
      </c>
      <c r="R138" s="203" t="str">
        <f t="shared" si="17"/>
        <v/>
      </c>
      <c r="S138" s="203" t="str">
        <f t="shared" si="18"/>
        <v/>
      </c>
      <c r="T138" s="203" t="str">
        <f t="shared" si="19"/>
        <v/>
      </c>
      <c r="U138" s="12">
        <v>0</v>
      </c>
      <c r="V138" s="11" t="str">
        <f t="shared" si="20"/>
        <v/>
      </c>
      <c r="W138" s="165">
        <f t="shared" si="21"/>
        <v>35</v>
      </c>
      <c r="X138" s="24"/>
    </row>
    <row r="139" spans="2:24" ht="45" customHeight="1" x14ac:dyDescent="0.3">
      <c r="B139" s="24"/>
      <c r="C139" s="194"/>
      <c r="D139" s="195" t="s">
        <v>157</v>
      </c>
      <c r="E139" s="257" t="str">
        <f>'TABLE MK'!J24</f>
        <v xml:space="preserve">Rekayasa  Pengetahuan  </v>
      </c>
      <c r="F139" s="257"/>
      <c r="G139" s="257"/>
      <c r="H139" s="257"/>
      <c r="I139" s="195" t="s">
        <v>95</v>
      </c>
      <c r="J139" s="196">
        <v>0</v>
      </c>
      <c r="K139" s="197"/>
      <c r="L139" s="198"/>
      <c r="M139" s="198" t="s">
        <v>161</v>
      </c>
      <c r="N139" s="199"/>
      <c r="O139" s="197"/>
      <c r="P139" s="200"/>
      <c r="Q139" s="203" t="str">
        <f t="shared" si="16"/>
        <v/>
      </c>
      <c r="R139" s="203" t="str">
        <f t="shared" si="17"/>
        <v/>
      </c>
      <c r="S139" s="203" t="str">
        <f t="shared" si="18"/>
        <v>Jumlah Kelas</v>
      </c>
      <c r="T139" s="203">
        <f t="shared" si="19"/>
        <v>0</v>
      </c>
      <c r="U139" s="12">
        <v>0</v>
      </c>
      <c r="V139" s="11" t="str">
        <f t="shared" si="20"/>
        <v/>
      </c>
      <c r="W139" s="165">
        <f t="shared" si="21"/>
        <v>35</v>
      </c>
      <c r="X139" s="24"/>
    </row>
    <row r="140" spans="2:24" ht="45" customHeight="1" thickBot="1" x14ac:dyDescent="0.35">
      <c r="B140" s="24"/>
      <c r="C140" s="68" t="str">
        <f>IF(OR(I140="",I140="None"),"-",IF(OR(K140="",K140="None"),E140&amp;" "&amp;"SEM-"&amp;F140&amp;" "&amp;"SKS-"&amp;G140&amp;" "&amp;H140&amp;" "&amp;J140,E140&amp;" "&amp;"SEM-"&amp;F140&amp;" SKS-"&amp;G140&amp;" "&amp;"S"&amp;H140&amp;" "&amp;H140&amp;" "&amp;J140&amp;"/"&amp;L140))</f>
        <v>-</v>
      </c>
      <c r="D140" s="14" t="str">
        <f>IF(J$139&gt;='TABLE SISTEM'!A$3,'TABLE MK'!I$24,"")</f>
        <v/>
      </c>
      <c r="E140" s="14" t="str">
        <f>IF(D140="","",(VLOOKUP(D140,Table6[[#All],[Kode MK]:[Mata Kuliah Prasayarat]],2,)))</f>
        <v/>
      </c>
      <c r="F140" s="15" t="str">
        <f>IF(D140="","",(VLOOKUP(D140,Table6[[#All],[Kode MK]:[Mata Kuliah Prasayarat]],3,)))</f>
        <v/>
      </c>
      <c r="G140" s="15" t="str">
        <f>IF(D140="","",(VLOOKUP(D140,Table6[[#All],[Kode MK]:[Mata Kuliah Prasayarat]],4,)))</f>
        <v/>
      </c>
      <c r="H140" s="15" t="str">
        <f>IF(D140="","","A")</f>
        <v/>
      </c>
      <c r="I140" s="39" t="s">
        <v>105</v>
      </c>
      <c r="J140" s="17" t="str">
        <f>IF(I140="","",(VLOOKUP(I140,tbDosen[NAMA DOSEN]:tbDosen[[NAMA DOSEN]:[KODE]],2,)))</f>
        <v>-</v>
      </c>
      <c r="K140" s="39" t="s">
        <v>105</v>
      </c>
      <c r="L140" s="17" t="str">
        <f>IF(K140="","",(VLOOKUP(K140,tbDosen[NAMA DOSEN]:tbDosen[[NAMA DOSEN]:[KODE]],2,)))</f>
        <v>-</v>
      </c>
      <c r="M140" s="16" t="str">
        <f>IF(OR(I140="",I140="None"),"",IF(OR(K140="",K140="None"),I140,I140&amp;" / "&amp;K140))</f>
        <v/>
      </c>
      <c r="N140" s="16" t="str">
        <f t="shared" si="22"/>
        <v/>
      </c>
      <c r="O140" s="18" t="str">
        <f>IF(OR(I140="",I140="None"),"",IF(OR(K140="",K140="None"),G140,G140/2))</f>
        <v/>
      </c>
      <c r="P140" s="60" t="str">
        <f>IF(D140="","",(IF(AND(G140=4,U140&lt;2),"ADA",IF(AND(G140&lt;4,U140=0),"ADA","TIDAK"))))</f>
        <v/>
      </c>
      <c r="Q140" s="203" t="str">
        <f t="shared" si="16"/>
        <v/>
      </c>
      <c r="R140" s="203" t="str">
        <f t="shared" si="17"/>
        <v/>
      </c>
      <c r="S140" s="203" t="str">
        <f t="shared" si="18"/>
        <v/>
      </c>
      <c r="T140" s="203" t="str">
        <f t="shared" si="19"/>
        <v/>
      </c>
      <c r="U140" s="12">
        <v>0</v>
      </c>
      <c r="V140" s="11" t="str">
        <f t="shared" si="20"/>
        <v/>
      </c>
      <c r="W140" s="165">
        <f t="shared" si="21"/>
        <v>35</v>
      </c>
      <c r="X140" s="24"/>
    </row>
    <row r="141" spans="2:24" ht="45" customHeight="1" thickBot="1" x14ac:dyDescent="0.35">
      <c r="B141" s="24"/>
      <c r="C141" s="68" t="str">
        <f>IF(OR(I141="",I141="None"),"-",IF(OR(K141="",K141="None"),E141&amp;" "&amp;"SEM-"&amp;F141&amp;" "&amp;"SKS-"&amp;G141&amp;" "&amp;H141&amp;" "&amp;J141,E141&amp;" "&amp;"SEM-"&amp;F141&amp;" SKS-"&amp;G141&amp;" "&amp;"S"&amp;H141&amp;" "&amp;H141&amp;" "&amp;J141&amp;"/"&amp;L141))</f>
        <v>-</v>
      </c>
      <c r="D141" s="14" t="str">
        <f>IF(J$139&gt;='TABLE SISTEM'!A$4,'TABLE MK'!I$24,"")</f>
        <v/>
      </c>
      <c r="E141" s="14" t="str">
        <f>IF(D141="","",(VLOOKUP(D141,Table6[[#All],[Kode MK]:[Mata Kuliah Prasayarat]],2,)))</f>
        <v/>
      </c>
      <c r="F141" s="15" t="str">
        <f>IF(D141="","",(VLOOKUP(D141,Table6[[#All],[Kode MK]:[Mata Kuliah Prasayarat]],3,)))</f>
        <v/>
      </c>
      <c r="G141" s="15" t="str">
        <f>IF(D141="","",(VLOOKUP(D141,Table6[[#All],[Kode MK]:[Mata Kuliah Prasayarat]],4,)))</f>
        <v/>
      </c>
      <c r="H141" s="15" t="str">
        <f>IF(D141="","","B")</f>
        <v/>
      </c>
      <c r="I141" s="39" t="s">
        <v>105</v>
      </c>
      <c r="J141" s="17" t="str">
        <f>IF(I141="","",(VLOOKUP(I141,tbDosen[NAMA DOSEN]:tbDosen[[NAMA DOSEN]:[KODE]],2,)))</f>
        <v>-</v>
      </c>
      <c r="K141" s="21" t="s">
        <v>105</v>
      </c>
      <c r="L141" s="17" t="str">
        <f>IF(K141="","",(VLOOKUP(K141,tbDosen[NAMA DOSEN]:tbDosen[[NAMA DOSEN]:[KODE]],2,)))</f>
        <v>-</v>
      </c>
      <c r="M141" s="16" t="str">
        <f>IF(OR(I141="",I141="None"),"",IF(OR(K141="",K141="None"),I141,I141&amp;" / "&amp;K141))</f>
        <v/>
      </c>
      <c r="N141" s="16" t="str">
        <f t="shared" si="22"/>
        <v/>
      </c>
      <c r="O141" s="18" t="str">
        <f>IF(OR(I141="",I141="None"),"",IF(OR(K141="",K141="None"),G141,G141/2))</f>
        <v/>
      </c>
      <c r="P141" s="61" t="str">
        <f>IF(D141="","",(IF(AND(G141=4,U141&lt;2),"ADA",IF(AND(G141&lt;4,U141=0),"ADA","TIDAK"))))</f>
        <v/>
      </c>
      <c r="Q141" s="203" t="str">
        <f t="shared" si="16"/>
        <v/>
      </c>
      <c r="R141" s="203" t="str">
        <f t="shared" si="17"/>
        <v/>
      </c>
      <c r="S141" s="203" t="str">
        <f t="shared" si="18"/>
        <v/>
      </c>
      <c r="T141" s="203" t="str">
        <f t="shared" si="19"/>
        <v/>
      </c>
      <c r="U141" s="12">
        <v>0</v>
      </c>
      <c r="V141" s="11" t="str">
        <f t="shared" si="20"/>
        <v/>
      </c>
      <c r="W141" s="165">
        <f t="shared" si="21"/>
        <v>35</v>
      </c>
      <c r="X141" s="24"/>
    </row>
    <row r="142" spans="2:24" ht="45" customHeight="1" thickBot="1" x14ac:dyDescent="0.35">
      <c r="B142" s="24"/>
      <c r="C142" s="68" t="str">
        <f>IF(OR(I142="",I142="None"),"-",IF(OR(K142="",K142="None"),E142&amp;" "&amp;"SEM-"&amp;F142&amp;" "&amp;"SKS-"&amp;G142&amp;" "&amp;H142&amp;" "&amp;J142,E142&amp;" "&amp;"SEM-"&amp;F142&amp;" SKS-"&amp;G142&amp;" "&amp;"S"&amp;H142&amp;" "&amp;H142&amp;" "&amp;J142&amp;"/"&amp;L142))</f>
        <v>-</v>
      </c>
      <c r="D142" s="14" t="str">
        <f>IF(J$139&gt;='TABLE SISTEM'!A$5,'TABLE MK'!I$24,"")</f>
        <v/>
      </c>
      <c r="E142" s="14" t="str">
        <f>IF(D142="","",(VLOOKUP(D142,Table6[[#All],[Kode MK]:[Mata Kuliah Prasayarat]],2,)))</f>
        <v/>
      </c>
      <c r="F142" s="15" t="str">
        <f>IF(D142="","",(VLOOKUP(D142,Table6[[#All],[Kode MK]:[Mata Kuliah Prasayarat]],3,)))</f>
        <v/>
      </c>
      <c r="G142" s="15" t="str">
        <f>IF(D142="","",(VLOOKUP(D142,Table6[[#All],[Kode MK]:[Mata Kuliah Prasayarat]],4,)))</f>
        <v/>
      </c>
      <c r="H142" s="15" t="str">
        <f>IF(D142="","","C")</f>
        <v/>
      </c>
      <c r="I142" s="39" t="s">
        <v>105</v>
      </c>
      <c r="J142" s="17" t="str">
        <f>IF(I142="","",(VLOOKUP(I142,tbDosen[NAMA DOSEN]:tbDosen[[NAMA DOSEN]:[KODE]],2,)))</f>
        <v>-</v>
      </c>
      <c r="K142" s="21" t="s">
        <v>105</v>
      </c>
      <c r="L142" s="17" t="str">
        <f>IF(K142="","",(VLOOKUP(K142,tbDosen[NAMA DOSEN]:tbDosen[[NAMA DOSEN]:[KODE]],2,)))</f>
        <v>-</v>
      </c>
      <c r="M142" s="16" t="str">
        <f>IF(OR(I142="",I142="None"),"",IF(OR(K142="",K142="None"),I142,I142&amp;" / "&amp;K142))</f>
        <v/>
      </c>
      <c r="N142" s="16" t="str">
        <f t="shared" si="22"/>
        <v/>
      </c>
      <c r="O142" s="18" t="str">
        <f>IF(OR(I142="",I142="None"),"",IF(OR(K142="",K142="None"),G142,G142/2))</f>
        <v/>
      </c>
      <c r="P142" s="61" t="str">
        <f>IF(D142="","",(IF(AND(G142=4,U142&lt;2),"ADA",IF(AND(G142&lt;4,U142=0),"ADA","TIDAK"))))</f>
        <v/>
      </c>
      <c r="Q142" s="203" t="str">
        <f t="shared" si="16"/>
        <v/>
      </c>
      <c r="R142" s="203" t="str">
        <f t="shared" si="17"/>
        <v/>
      </c>
      <c r="S142" s="203" t="str">
        <f t="shared" si="18"/>
        <v/>
      </c>
      <c r="T142" s="203" t="str">
        <f t="shared" si="19"/>
        <v/>
      </c>
      <c r="U142" s="12">
        <v>0</v>
      </c>
      <c r="V142" s="11" t="str">
        <f t="shared" si="20"/>
        <v/>
      </c>
      <c r="W142" s="165">
        <f t="shared" si="21"/>
        <v>35</v>
      </c>
      <c r="X142" s="24"/>
    </row>
    <row r="143" spans="2:24" ht="45" customHeight="1" thickBot="1" x14ac:dyDescent="0.35">
      <c r="B143" s="24"/>
      <c r="C143" s="68" t="str">
        <f>IF(OR(I143="",I143="None"),"-",IF(OR(K143="",K143="None"),E143&amp;" "&amp;"SEM-"&amp;F143&amp;" "&amp;"SKS-"&amp;G143&amp;" "&amp;H143&amp;" "&amp;J143,E143&amp;" "&amp;"SEM-"&amp;F143&amp;" SKS-"&amp;G143&amp;" "&amp;"S"&amp;H143&amp;" "&amp;H143&amp;" "&amp;J143&amp;"/"&amp;L143))</f>
        <v>-</v>
      </c>
      <c r="D143" s="14" t="str">
        <f>IF(J$139&gt;='TABLE SISTEM'!A$6,'TABLE MK'!I$24,"")</f>
        <v/>
      </c>
      <c r="E143" s="14" t="str">
        <f>IF(D143="","",(VLOOKUP(D143,Table6[[#All],[Kode MK]:[Mata Kuliah Prasayarat]],2,)))</f>
        <v/>
      </c>
      <c r="F143" s="15" t="str">
        <f>IF(D143="","",(VLOOKUP(D143,Table6[[#All],[Kode MK]:[Mata Kuliah Prasayarat]],3,)))</f>
        <v/>
      </c>
      <c r="G143" s="15" t="str">
        <f>IF(D143="","",(VLOOKUP(D143,Table6[[#All],[Kode MK]:[Mata Kuliah Prasayarat]],4,)))</f>
        <v/>
      </c>
      <c r="H143" s="15" t="str">
        <f>IF(D143="","","D")</f>
        <v/>
      </c>
      <c r="I143" s="21" t="s">
        <v>105</v>
      </c>
      <c r="J143" s="17" t="str">
        <f>IF(I143="","",(VLOOKUP(I143,tbDosen[NAMA DOSEN]:tbDosen[[NAMA DOSEN]:[KODE]],2,)))</f>
        <v>-</v>
      </c>
      <c r="K143" s="21" t="s">
        <v>105</v>
      </c>
      <c r="L143" s="17" t="str">
        <f>IF(K143="","",(VLOOKUP(K143,tbDosen[NAMA DOSEN]:tbDosen[[NAMA DOSEN]:[KODE]],2,)))</f>
        <v>-</v>
      </c>
      <c r="M143" s="16" t="str">
        <f>IF(OR(I143="",I143="None"),"",IF(OR(K143="",K143="None"),I143,I143&amp;" / "&amp;K143))</f>
        <v/>
      </c>
      <c r="N143" s="16" t="str">
        <f t="shared" si="22"/>
        <v/>
      </c>
      <c r="O143" s="18" t="str">
        <f>IF(OR(I143="",I143="None"),"",IF(OR(K143="",K143="None"),G143,G143/2))</f>
        <v/>
      </c>
      <c r="P143" s="61" t="str">
        <f>IF(D143="","",(IF(AND(G143=4,U143&lt;2),"ADA",IF(AND(G143&lt;4,U143=0),"ADA","TIDAK"))))</f>
        <v/>
      </c>
      <c r="Q143" s="203" t="str">
        <f t="shared" si="16"/>
        <v/>
      </c>
      <c r="R143" s="203" t="str">
        <f t="shared" si="17"/>
        <v/>
      </c>
      <c r="S143" s="203" t="str">
        <f t="shared" si="18"/>
        <v/>
      </c>
      <c r="T143" s="203" t="str">
        <f t="shared" si="19"/>
        <v/>
      </c>
      <c r="U143" s="12">
        <v>0</v>
      </c>
      <c r="V143" s="11" t="str">
        <f t="shared" si="20"/>
        <v/>
      </c>
      <c r="W143" s="165">
        <f t="shared" si="21"/>
        <v>35</v>
      </c>
      <c r="X143" s="24"/>
    </row>
    <row r="144" spans="2:24" ht="45" customHeight="1" x14ac:dyDescent="0.3">
      <c r="B144" s="24"/>
      <c r="C144" s="68" t="str">
        <f>IF(OR(I144="",I144="None"),"-",IF(OR(K144="",K144="None"),E144&amp;" "&amp;"SEM-"&amp;F144&amp;" "&amp;"SKS-"&amp;G144&amp;" "&amp;H144&amp;" "&amp;J144,E144&amp;" "&amp;"SEM-"&amp;F144&amp;" SKS-"&amp;G144&amp;" "&amp;"S"&amp;H144&amp;" "&amp;H144&amp;" "&amp;J144&amp;"/"&amp;L144))</f>
        <v>-</v>
      </c>
      <c r="D144" s="14" t="str">
        <f>IF(J$139&gt;='TABLE SISTEM'!A$7,'TABLE MK'!I$24,"")</f>
        <v/>
      </c>
      <c r="E144" s="14" t="str">
        <f>IF(D144="","",(VLOOKUP(D144,Table6[[#All],[Kode MK]:[Mata Kuliah Prasayarat]],2,)))</f>
        <v/>
      </c>
      <c r="F144" s="15" t="str">
        <f>IF(D144="","",(VLOOKUP(D144,Table6[[#All],[Kode MK]:[Mata Kuliah Prasayarat]],3,)))</f>
        <v/>
      </c>
      <c r="G144" s="15" t="str">
        <f>IF(D144="","",(VLOOKUP(D144,Table6[[#All],[Kode MK]:[Mata Kuliah Prasayarat]],4,)))</f>
        <v/>
      </c>
      <c r="H144" s="15" t="str">
        <f>IF(D144="","","E")</f>
        <v/>
      </c>
      <c r="I144" s="44" t="s">
        <v>105</v>
      </c>
      <c r="J144" s="17" t="str">
        <f>IF(I144="","",(VLOOKUP(I144,tbDosen[NAMA DOSEN]:tbDosen[[NAMA DOSEN]:[KODE]],2,)))</f>
        <v>-</v>
      </c>
      <c r="K144" s="44" t="s">
        <v>105</v>
      </c>
      <c r="L144" s="17" t="str">
        <f>IF(K144="","",(VLOOKUP(K144,tbDosen[NAMA DOSEN]:tbDosen[[NAMA DOSEN]:[KODE]],2,)))</f>
        <v>-</v>
      </c>
      <c r="M144" s="16" t="str">
        <f>IF(OR(I144="",I144="None"),"",IF(OR(K144="",K144="None"),I144,I144&amp;" / "&amp;K144))</f>
        <v/>
      </c>
      <c r="N144" s="16" t="str">
        <f t="shared" si="22"/>
        <v/>
      </c>
      <c r="O144" s="18" t="str">
        <f>IF(OR(I144="",I144="None"),"",IF(OR(K144="",K144="None"),G144,G144/2))</f>
        <v/>
      </c>
      <c r="P144" s="62" t="str">
        <f>IF(D144="","",(IF(AND(G144=4,U144&lt;2),"ADA",IF(AND(G144&lt;4,U144=0),"ADA","TIDAK"))))</f>
        <v/>
      </c>
      <c r="Q144" s="203" t="str">
        <f t="shared" si="16"/>
        <v/>
      </c>
      <c r="R144" s="203" t="str">
        <f t="shared" si="17"/>
        <v/>
      </c>
      <c r="S144" s="203" t="str">
        <f t="shared" si="18"/>
        <v/>
      </c>
      <c r="T144" s="203" t="str">
        <f t="shared" si="19"/>
        <v/>
      </c>
      <c r="U144" s="12">
        <v>0</v>
      </c>
      <c r="V144" s="11" t="str">
        <f t="shared" si="20"/>
        <v/>
      </c>
      <c r="W144" s="165">
        <f t="shared" si="21"/>
        <v>35</v>
      </c>
      <c r="X144" s="24"/>
    </row>
    <row r="145" spans="2:24" ht="15.6" customHeight="1" x14ac:dyDescent="0.3">
      <c r="B145" s="24"/>
      <c r="C145" s="57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W145" s="165"/>
      <c r="X145" s="24"/>
    </row>
    <row r="146" spans="2:24" ht="15.6" x14ac:dyDescent="0.3">
      <c r="C146" s="22"/>
      <c r="W146" s="165"/>
    </row>
    <row r="147" spans="2:24" ht="15.6" x14ac:dyDescent="0.3">
      <c r="C147" s="22"/>
      <c r="W147" s="165"/>
    </row>
    <row r="148" spans="2:24" ht="15.6" x14ac:dyDescent="0.3">
      <c r="C148" s="22"/>
      <c r="W148" s="165"/>
    </row>
    <row r="149" spans="2:24" ht="15.6" x14ac:dyDescent="0.3">
      <c r="C149" s="22"/>
      <c r="W149" s="165"/>
    </row>
    <row r="150" spans="2:24" ht="15.6" x14ac:dyDescent="0.3">
      <c r="C150" s="22"/>
      <c r="W150" s="165"/>
    </row>
    <row r="151" spans="2:24" ht="15.6" x14ac:dyDescent="0.3">
      <c r="C151" s="22"/>
      <c r="W151" s="165"/>
    </row>
    <row r="152" spans="2:24" ht="15.6" x14ac:dyDescent="0.3">
      <c r="C152" s="22"/>
      <c r="W152" s="165">
        <v>20</v>
      </c>
    </row>
    <row r="153" spans="2:24" ht="15.6" x14ac:dyDescent="0.3">
      <c r="C153" s="22"/>
      <c r="W153" s="165">
        <v>20</v>
      </c>
    </row>
    <row r="154" spans="2:24" ht="15.6" x14ac:dyDescent="0.3">
      <c r="C154" s="22"/>
      <c r="W154" s="165"/>
    </row>
    <row r="155" spans="2:24" ht="15.6" x14ac:dyDescent="0.3">
      <c r="C155" s="22"/>
      <c r="W155" s="165"/>
    </row>
    <row r="156" spans="2:24" ht="15.6" x14ac:dyDescent="0.3">
      <c r="C156" s="22"/>
      <c r="W156" s="165"/>
    </row>
    <row r="157" spans="2:24" ht="15.6" x14ac:dyDescent="0.3">
      <c r="C157" s="22"/>
      <c r="W157" s="165"/>
    </row>
    <row r="158" spans="2:24" ht="15.6" x14ac:dyDescent="0.3">
      <c r="C158" s="22"/>
      <c r="W158" s="165">
        <v>20</v>
      </c>
    </row>
    <row r="159" spans="2:24" ht="15.6" x14ac:dyDescent="0.3">
      <c r="C159" s="22"/>
      <c r="W159" s="165">
        <v>20</v>
      </c>
    </row>
    <row r="160" spans="2:24" ht="15.6" x14ac:dyDescent="0.3">
      <c r="C160" s="22"/>
      <c r="W160" s="165"/>
    </row>
    <row r="161" spans="3:23" ht="15.6" x14ac:dyDescent="0.3">
      <c r="C161" s="22"/>
      <c r="W161" s="165"/>
    </row>
    <row r="162" spans="3:23" ht="15.6" x14ac:dyDescent="0.3">
      <c r="C162" s="22"/>
      <c r="W162" s="165"/>
    </row>
    <row r="163" spans="3:23" ht="15.6" x14ac:dyDescent="0.3">
      <c r="C163" s="22"/>
      <c r="W163" s="165"/>
    </row>
    <row r="164" spans="3:23" ht="15.6" x14ac:dyDescent="0.3">
      <c r="C164" s="22"/>
      <c r="W164" s="165">
        <f>IF(J$164=4,20,IF(J$164=3,25,IF(J$164=2,20,40)))</f>
        <v>40</v>
      </c>
    </row>
    <row r="165" spans="3:23" ht="15.6" x14ac:dyDescent="0.3">
      <c r="C165" s="22"/>
      <c r="W165" s="165">
        <f>IF(J$164=4,20,IF(J$164=3,25,IF(J$164=2,20,40)))</f>
        <v>40</v>
      </c>
    </row>
    <row r="166" spans="3:23" ht="15.6" x14ac:dyDescent="0.3">
      <c r="C166" s="22"/>
      <c r="W166" s="165"/>
    </row>
    <row r="167" spans="3:23" ht="15.6" x14ac:dyDescent="0.3">
      <c r="C167" s="22"/>
      <c r="W167" s="165"/>
    </row>
    <row r="168" spans="3:23" ht="15.6" x14ac:dyDescent="0.3">
      <c r="C168" s="22"/>
      <c r="W168" s="165"/>
    </row>
    <row r="169" spans="3:23" ht="15.6" x14ac:dyDescent="0.3">
      <c r="C169" s="22"/>
      <c r="W169" s="165"/>
    </row>
    <row r="170" spans="3:23" ht="15.6" x14ac:dyDescent="0.3">
      <c r="C170" s="22"/>
      <c r="W170" s="165"/>
    </row>
    <row r="171" spans="3:23" ht="15.6" x14ac:dyDescent="0.3">
      <c r="C171" s="22"/>
      <c r="W171" s="165"/>
    </row>
    <row r="172" spans="3:23" ht="15.6" x14ac:dyDescent="0.3">
      <c r="C172" s="22"/>
      <c r="W172" s="165"/>
    </row>
    <row r="173" spans="3:23" ht="15.6" x14ac:dyDescent="0.3">
      <c r="C173" s="22"/>
      <c r="W173" s="165"/>
    </row>
    <row r="174" spans="3:23" ht="15.6" x14ac:dyDescent="0.3">
      <c r="C174" s="22"/>
      <c r="W174" s="165"/>
    </row>
    <row r="175" spans="3:23" ht="15.6" x14ac:dyDescent="0.3">
      <c r="C175" s="22"/>
      <c r="W175" s="165"/>
    </row>
    <row r="176" spans="3:23" x14ac:dyDescent="0.3">
      <c r="C176" s="22"/>
      <c r="W176" s="11"/>
    </row>
    <row r="177" spans="3:3" x14ac:dyDescent="0.3">
      <c r="C177" s="22"/>
    </row>
    <row r="178" spans="3:3" x14ac:dyDescent="0.3">
      <c r="C178" s="22"/>
    </row>
    <row r="179" spans="3:3" x14ac:dyDescent="0.3">
      <c r="C179" s="22"/>
    </row>
    <row r="180" spans="3:3" x14ac:dyDescent="0.3">
      <c r="C180" s="22"/>
    </row>
    <row r="181" spans="3:3" x14ac:dyDescent="0.3">
      <c r="C181" s="22"/>
    </row>
    <row r="182" spans="3:3" x14ac:dyDescent="0.3">
      <c r="C182" s="22"/>
    </row>
    <row r="183" spans="3:3" x14ac:dyDescent="0.3">
      <c r="C183" s="22"/>
    </row>
    <row r="184" spans="3:3" x14ac:dyDescent="0.3">
      <c r="C184" s="22"/>
    </row>
    <row r="185" spans="3:3" x14ac:dyDescent="0.3">
      <c r="C185" s="22"/>
    </row>
    <row r="186" spans="3:3" x14ac:dyDescent="0.3">
      <c r="C186" s="22"/>
    </row>
    <row r="187" spans="3:3" x14ac:dyDescent="0.3">
      <c r="C187" s="22"/>
    </row>
    <row r="188" spans="3:3" x14ac:dyDescent="0.3">
      <c r="C188" s="22"/>
    </row>
    <row r="189" spans="3:3" x14ac:dyDescent="0.3">
      <c r="C189" s="22"/>
    </row>
    <row r="190" spans="3:3" x14ac:dyDescent="0.3">
      <c r="C190" s="22"/>
    </row>
    <row r="191" spans="3:3" x14ac:dyDescent="0.3">
      <c r="C191" s="22"/>
    </row>
    <row r="192" spans="3:3" x14ac:dyDescent="0.3">
      <c r="C192" s="22"/>
    </row>
    <row r="193" spans="3:3" x14ac:dyDescent="0.3">
      <c r="C193" s="22"/>
    </row>
    <row r="194" spans="3:3" x14ac:dyDescent="0.3">
      <c r="C194" s="22"/>
    </row>
    <row r="195" spans="3:3" x14ac:dyDescent="0.3">
      <c r="C195" s="22"/>
    </row>
  </sheetData>
  <mergeCells count="25">
    <mergeCell ref="Q6:R6"/>
    <mergeCell ref="S6:T6"/>
    <mergeCell ref="E37:H37"/>
    <mergeCell ref="E7:H7"/>
    <mergeCell ref="E13:H13"/>
    <mergeCell ref="E19:H19"/>
    <mergeCell ref="E25:H25"/>
    <mergeCell ref="E31:H31"/>
    <mergeCell ref="E109:H109"/>
    <mergeCell ref="E43:H43"/>
    <mergeCell ref="E49:H49"/>
    <mergeCell ref="E55:H55"/>
    <mergeCell ref="E61:H61"/>
    <mergeCell ref="E67:H67"/>
    <mergeCell ref="E73:H73"/>
    <mergeCell ref="E79:H79"/>
    <mergeCell ref="E85:H85"/>
    <mergeCell ref="E91:H91"/>
    <mergeCell ref="E97:H97"/>
    <mergeCell ref="E103:H103"/>
    <mergeCell ref="E115:H115"/>
    <mergeCell ref="E121:H121"/>
    <mergeCell ref="E127:H127"/>
    <mergeCell ref="E133:H133"/>
    <mergeCell ref="E139:H139"/>
  </mergeCells>
  <conditionalFormatting sqref="P8:T144">
    <cfRule type="cellIs" dxfId="1173" priority="8" operator="equal">
      <formula>"ada"</formula>
    </cfRule>
    <cfRule type="containsText" dxfId="1172" priority="9" operator="containsText" text="Tidak">
      <formula>NOT(ISERROR(SEARCH("Tidak",P8)))</formula>
    </cfRule>
  </conditionalFormatting>
  <conditionalFormatting sqref="U8:U145">
    <cfRule type="containsText" dxfId="1171" priority="1" operator="containsText" text="2">
      <formula>NOT(ISERROR(SEARCH("2",U8)))</formula>
    </cfRule>
  </conditionalFormatting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6F83E6C-3580-4315-98AB-C0665A97F2DB}">
          <x14:formula1>
            <xm:f>'TABLE SISTEM'!$A$2:$A$7</xm:f>
          </x14:formula1>
          <xm:sqref>J7 J13 J19 J31 J37 J25 J43 J49 J55 J61 J67 J73 J79 J85 J91 J97 J103 J109 J115 J121 J127 J133 J139</xm:sqref>
        </x14:dataValidation>
        <x14:dataValidation type="list" allowBlank="1" showInputMessage="1" showErrorMessage="1" xr:uid="{7D02A11B-E500-4EBF-AFBB-A5D05B5663B6}">
          <x14:formula1>
            <xm:f>'TABLE DOSEN'!$B$2:$B$28</xm:f>
          </x14:formula1>
          <xm:sqref>I128:I132 K8:K12 I8:I12 K14:K18 I92:I96 I50:I54 I26:I30 K50:K54 K32:K36 K80:K84 K38:K42 K56:K60 K74:K78 I14:I18 I38:I42 I140:I144 I104:I108 I44:I48 K140:K144 I122:I126 K134:K138 I134:I138 K20:K24 I74:I78 I80:I84 K110:K114 I20:I24 I86:I90 I110:I114 I62:I66 K104:K108 K44:K48 K98:K102 I98:I102 I56:I60 K92:K96 I32:I36 I116:I120 K26:K30 K128:K132 K116:K120 I68:I72 K68:K72</xm:sqref>
        </x14:dataValidation>
        <x14:dataValidation type="list" allowBlank="1" showInputMessage="1" showErrorMessage="1" xr:uid="{C44271B0-152D-4E2E-BC0A-EAED68829A8A}">
          <x14:formula1>
            <xm:f>'TABLE DOSEN'!$B$2:$B$30</xm:f>
          </x14:formula1>
          <xm:sqref>K62:K66 K122:K126 K86:K90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7D75-19DC-4428-BF6A-453EFA4229F7}">
  <sheetPr>
    <tabColor rgb="FF92D050"/>
  </sheetPr>
  <dimension ref="A2:V127"/>
  <sheetViews>
    <sheetView showGridLines="0" topLeftCell="A108" zoomScale="60" zoomScaleNormal="60" workbookViewId="0">
      <selection activeCell="F49" sqref="F49"/>
    </sheetView>
  </sheetViews>
  <sheetFormatPr defaultRowHeight="14.4" x14ac:dyDescent="0.3"/>
  <cols>
    <col min="1" max="1" width="8" style="25" customWidth="1"/>
    <col min="2" max="2" width="14.6640625" style="25" customWidth="1"/>
    <col min="3" max="3" width="11.6640625" style="25" bestFit="1" customWidth="1"/>
    <col min="4" max="4" width="6.21875" style="25" customWidth="1"/>
    <col min="5" max="5" width="13.21875" style="25" bestFit="1" customWidth="1"/>
    <col min="6" max="6" width="58" style="100" customWidth="1"/>
    <col min="7" max="7" width="4.77734375" style="100" customWidth="1"/>
    <col min="8" max="8" width="23.77734375" style="25" bestFit="1" customWidth="1"/>
    <col min="9" max="9" width="43.109375" style="99" bestFit="1" customWidth="1"/>
    <col min="10" max="10" width="11" style="25" customWidth="1"/>
    <col min="11" max="11" width="13.44140625" style="25" customWidth="1"/>
    <col min="12" max="12" width="12.6640625" style="25" customWidth="1"/>
    <col min="13" max="13" width="10.6640625" style="25" bestFit="1" customWidth="1"/>
    <col min="14" max="14" width="13" style="25" customWidth="1"/>
    <col min="15" max="16" width="7.21875" style="25" bestFit="1" customWidth="1"/>
    <col min="17" max="18" width="7.21875" style="25" hidden="1" customWidth="1"/>
    <col min="19" max="19" width="42.77734375" style="25" bestFit="1" customWidth="1"/>
    <col min="20" max="22" width="16.21875" style="25" customWidth="1"/>
    <col min="23" max="24" width="14.109375" style="25" customWidth="1"/>
    <col min="25" max="16384" width="8.88671875" style="25"/>
  </cols>
  <sheetData>
    <row r="2" spans="1:22" ht="31.8" x14ac:dyDescent="0.5">
      <c r="B2" s="259" t="str">
        <f>("PROGRAM JADWAL KULIAH SEMESTER GENAP TA "&amp; 'SELECT KELAS GASAL'!$I$3)</f>
        <v>PROGRAM JADWAL KULIAH SEMESTER GENAP TA 2022 - 2023</v>
      </c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183"/>
      <c r="V2" s="183"/>
    </row>
    <row r="3" spans="1:22" ht="31.8" x14ac:dyDescent="0.5">
      <c r="B3" s="259" t="s">
        <v>419</v>
      </c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183"/>
      <c r="V3" s="183"/>
    </row>
    <row r="4" spans="1:22" ht="17.399999999999999" x14ac:dyDescent="0.3">
      <c r="B4" s="48"/>
    </row>
    <row r="6" spans="1:22" s="26" customFormat="1" ht="34.950000000000003" customHeight="1" x14ac:dyDescent="0.3">
      <c r="B6" s="125" t="s">
        <v>418</v>
      </c>
      <c r="C6" s="260" t="s">
        <v>417</v>
      </c>
      <c r="D6" s="260"/>
      <c r="E6" s="260"/>
      <c r="F6" s="50" t="s">
        <v>174</v>
      </c>
      <c r="G6" s="97"/>
      <c r="H6" s="50" t="s">
        <v>416</v>
      </c>
      <c r="I6" s="97" t="s">
        <v>147</v>
      </c>
      <c r="J6" s="50" t="s">
        <v>164</v>
      </c>
      <c r="K6" s="50" t="s">
        <v>412</v>
      </c>
      <c r="L6" s="50" t="s">
        <v>413</v>
      </c>
      <c r="M6" s="50" t="s">
        <v>94</v>
      </c>
      <c r="N6" s="50" t="s">
        <v>415</v>
      </c>
      <c r="O6" s="50" t="s">
        <v>83</v>
      </c>
      <c r="P6" s="50" t="s">
        <v>414</v>
      </c>
      <c r="Q6" s="50"/>
      <c r="R6" s="50"/>
      <c r="S6" s="50" t="s">
        <v>163</v>
      </c>
      <c r="T6" s="50" t="s">
        <v>165</v>
      </c>
      <c r="U6" s="206" t="str">
        <f t="shared" ref="U6:U12" si="0">C6</f>
        <v>JADWAL KULIAH</v>
      </c>
      <c r="V6" s="205"/>
    </row>
    <row r="7" spans="1:22" s="26" customFormat="1" ht="34.950000000000003" customHeight="1" x14ac:dyDescent="0.3">
      <c r="A7" s="49"/>
      <c r="B7" s="51" t="str">
        <f>IF(C7="","","Senin")</f>
        <v>Senin</v>
      </c>
      <c r="C7" s="51">
        <v>0.3125</v>
      </c>
      <c r="D7" s="51" t="str">
        <f>IF(C7="","","s/d")</f>
        <v>s/d</v>
      </c>
      <c r="E7" s="51">
        <f t="shared" ref="E7:E12" si="1">IF(O7="","",(IF(O7=4,C7+TIME(0,2*50,0),C7+TIME(0,O7*50,0))))</f>
        <v>0.41666666666666669</v>
      </c>
      <c r="F7" s="101" t="s">
        <v>603</v>
      </c>
      <c r="G7" s="115" t="s">
        <v>394</v>
      </c>
      <c r="H7" s="52" t="str">
        <f>IF(F7="","",VLOOKUP(F7,'SELECT KELAS GENAP'!C$8:N$181,2,FALSE))</f>
        <v>INF-55201-107</v>
      </c>
      <c r="I7" s="240" t="str">
        <f>IF(F7="","",VLOOKUP(F7,'SELECT KELAS GENAP'!C$8:N$175,3,FALSE))</f>
        <v>Organisasi  dan Arsitektur Komputer  </v>
      </c>
      <c r="J7" s="52" t="str">
        <f>IF(F7="","",VLOOKUP(F7,'SELECT KELAS GENAP'!C$8:N$181,12,FALSE))</f>
        <v>EE / KH</v>
      </c>
      <c r="K7" s="237" t="str">
        <f>IF(F7="","",VLOOKUP(F7,'SELECT KELAS GENAP'!C$8:N$181,8,FALSE))</f>
        <v>EE</v>
      </c>
      <c r="L7" s="237" t="str">
        <f>IF(F7="","",VLOOKUP(F7,'SELECT KELAS GENAP'!C$8:N$181,10,FALSE))</f>
        <v>KH</v>
      </c>
      <c r="M7" s="52" t="str">
        <f>IF(F7="","",VLOOKUP(F7,'SELECT KELAS GENAP'!C$8:N$181,6,FALSE))</f>
        <v>D</v>
      </c>
      <c r="N7" s="52">
        <f>IF(F7="","",VLOOKUP(F7,'SELECT KELAS GENAP'!C$8:N$181,4,FALSE))</f>
        <v>2</v>
      </c>
      <c r="O7" s="52">
        <f>IF(F7="","",VLOOKUP(F7,'SELECT KELAS GENAP'!C$8:N$181,5,FALSE))</f>
        <v>3</v>
      </c>
      <c r="P7" s="52">
        <f>IF(F7="","",VLOOKUP(F7,'SELECT KELAS GENAP'!C$8:W$181,21,FALSE))</f>
        <v>28</v>
      </c>
      <c r="Q7" s="52" t="str">
        <f>IF(F7="","",VLOOKUP(F7,'SELECT KELAS GENAP'!C$8:N$181,7,FALSE))</f>
        <v>Enda Esyudha Pratama, S.T., M.T.</v>
      </c>
      <c r="R7" s="52" t="str">
        <f>IF(F7="","",VLOOKUP(F7,'SELECT KELAS GENAP'!C$8:N$181,9,FALSE))</f>
        <v>Khairul Hafidh, S.T., M.Kom.</v>
      </c>
      <c r="S7" s="98" t="str">
        <f>IF(F7="","",VLOOKUP(F7,'SELECT KELAS GENAP'!C$8:N$181,11,FALSE))</f>
        <v>Enda Esyudha Pratama, S.T., M.T. / Khairul Hafidh, S.T., M.Kom.</v>
      </c>
      <c r="T7" s="52"/>
      <c r="U7" s="206">
        <f t="shared" si="0"/>
        <v>0.3125</v>
      </c>
      <c r="V7" s="206">
        <f>E7</f>
        <v>0.41666666666666669</v>
      </c>
    </row>
    <row r="8" spans="1:22" s="26" customFormat="1" ht="34.950000000000003" customHeight="1" x14ac:dyDescent="0.3">
      <c r="B8" s="51" t="str">
        <f t="shared" ref="B8:B31" si="2">IF(C8="","","Senin")</f>
        <v>Senin</v>
      </c>
      <c r="C8" s="51">
        <v>0.3125</v>
      </c>
      <c r="D8" s="51" t="str">
        <f t="shared" ref="D8:D78" si="3">IF(C8="","","s/d")</f>
        <v>s/d</v>
      </c>
      <c r="E8" s="51">
        <f t="shared" si="1"/>
        <v>0.41666666666666669</v>
      </c>
      <c r="F8" s="101" t="s">
        <v>578</v>
      </c>
      <c r="G8" s="115" t="s">
        <v>394</v>
      </c>
      <c r="H8" s="52" t="str">
        <f>IF(F8="","",VLOOKUP(F8,'SELECT KELAS GENAP'!C$8:N$181,2,FALSE))</f>
        <v>INF-55201-105</v>
      </c>
      <c r="I8" s="240" t="str">
        <f>IF(F8="","",VLOOKUP(F8,'SELECT KELAS GENAP'!C$8:N$175,3,FALSE))</f>
        <v>Probabilitas  dan  Statistik  </v>
      </c>
      <c r="J8" s="52" t="str">
        <f>IF(F8="","",VLOOKUP(F8,'SELECT KELAS GENAP'!C$8:N$181,12,FALSE))</f>
        <v>YL / NC</v>
      </c>
      <c r="K8" s="237" t="str">
        <f>IF(F8="","",VLOOKUP(F8,'SELECT KELAS GENAP'!C$8:N$181,8,FALSE))</f>
        <v>YL</v>
      </c>
      <c r="L8" s="237" t="str">
        <f>IF(F8="","",VLOOKUP(F8,'SELECT KELAS GENAP'!C$8:N$181,10,FALSE))</f>
        <v>NC</v>
      </c>
      <c r="M8" s="52" t="str">
        <f>IF(F8="","",VLOOKUP(F8,'SELECT KELAS GENAP'!C$8:N$181,6,FALSE))</f>
        <v>B</v>
      </c>
      <c r="N8" s="52">
        <f>IF(F8="","",VLOOKUP(F8,'SELECT KELAS GENAP'!C$8:N$181,4,FALSE))</f>
        <v>2</v>
      </c>
      <c r="O8" s="52">
        <f>IF(F8="","",VLOOKUP(F8,'SELECT KELAS GENAP'!C$8:N$181,5,FALSE))</f>
        <v>3</v>
      </c>
      <c r="P8" s="52">
        <f>IF(F8="","",VLOOKUP(F8,'SELECT KELAS GENAP'!C$8:W$181,21,FALSE))</f>
        <v>28</v>
      </c>
      <c r="Q8" s="52" t="str">
        <f>IF(F8="","",VLOOKUP(F8,'SELECT KELAS GENAP'!C$8:N$181,7,FALSE))</f>
        <v>Yulianti,S.Kom, MMSI</v>
      </c>
      <c r="R8" s="52" t="str">
        <f>IF(F8="","",VLOOKUP(F8,'SELECT KELAS GENAP'!C$8:N$181,9,FALSE))</f>
        <v>Niken Candraningrum, S.T., M.Cs.</v>
      </c>
      <c r="S8" s="98" t="str">
        <f>IF(F8="","",VLOOKUP(F8,'SELECT KELAS GENAP'!C$8:N$181,11,FALSE))</f>
        <v>Yulianti,S.Kom, MMSI / Niken Candraningrum, S.T., M.Cs.</v>
      </c>
      <c r="T8" s="52"/>
      <c r="U8" s="206">
        <f t="shared" si="0"/>
        <v>0.3125</v>
      </c>
      <c r="V8" s="206">
        <f t="shared" ref="V8:V74" si="4">E8</f>
        <v>0.41666666666666669</v>
      </c>
    </row>
    <row r="9" spans="1:22" s="26" customFormat="1" ht="34.950000000000003" customHeight="1" x14ac:dyDescent="0.3">
      <c r="A9" s="49"/>
      <c r="B9" s="51" t="str">
        <f t="shared" si="2"/>
        <v>Senin</v>
      </c>
      <c r="C9" s="51">
        <v>0.3125</v>
      </c>
      <c r="D9" s="51" t="str">
        <f t="shared" si="3"/>
        <v>s/d</v>
      </c>
      <c r="E9" s="51">
        <f t="shared" si="1"/>
        <v>0.41666666666666669</v>
      </c>
      <c r="F9" s="101" t="s">
        <v>516</v>
      </c>
      <c r="G9" s="115" t="s">
        <v>394</v>
      </c>
      <c r="H9" s="52" t="str">
        <f>IF(F9="","",VLOOKUP(F9,'SELECT KELAS GENAP'!C$8:N$181,2,FALSE))</f>
        <v>INF-55201-210</v>
      </c>
      <c r="I9" s="240" t="str">
        <f>IF(F9="","",VLOOKUP(F9,'SELECT KELAS GENAP'!C$8:N$175,3,FALSE))</f>
        <v>Sistem Paralel dan Terdistribusi</v>
      </c>
      <c r="J9" s="52" t="str">
        <f>IF(F9="","",VLOOKUP(F9,'SELECT KELAS GENAP'!C$8:N$181,12,FALSE))</f>
        <v>HLN</v>
      </c>
      <c r="K9" s="237" t="str">
        <f>IF(F9="","",VLOOKUP(F9,'SELECT KELAS GENAP'!C$8:N$181,8,FALSE))</f>
        <v>HLN</v>
      </c>
      <c r="L9" s="237" t="str">
        <f>IF(F9="","",VLOOKUP(F9,'SELECT KELAS GENAP'!C$8:N$181,10,FALSE))</f>
        <v>-</v>
      </c>
      <c r="M9" s="52" t="str">
        <f>IF(F9="","",VLOOKUP(F9,'SELECT KELAS GENAP'!C$8:N$181,6,FALSE))</f>
        <v>D</v>
      </c>
      <c r="N9" s="52">
        <f>IF(F9="","",VLOOKUP(F9,'SELECT KELAS GENAP'!C$8:N$181,4,FALSE))</f>
        <v>4</v>
      </c>
      <c r="O9" s="52">
        <f>IF(F9="","",VLOOKUP(F9,'SELECT KELAS GENAP'!C$8:N$181,5,FALSE))</f>
        <v>3</v>
      </c>
      <c r="P9" s="52">
        <f>IF(F9="","",VLOOKUP(F9,'SELECT KELAS GENAP'!C$8:W$181,21,FALSE))</f>
        <v>28</v>
      </c>
      <c r="Q9" s="52" t="str">
        <f>IF(F9="","",VLOOKUP(F9,'SELECT KELAS GENAP'!C$8:N$181,7,FALSE))</f>
        <v>Helfi Nasution, S.Kom, M.Cs</v>
      </c>
      <c r="R9" s="52" t="str">
        <f>IF(F9="","",VLOOKUP(F9,'SELECT KELAS GENAP'!C$8:N$181,9,FALSE))</f>
        <v>None</v>
      </c>
      <c r="S9" s="98" t="str">
        <f>IF(F9="","",VLOOKUP(F9,'SELECT KELAS GENAP'!C$8:N$181,11,FALSE))</f>
        <v>Helfi Nasution, S.Kom, M.Cs</v>
      </c>
      <c r="T9" s="52"/>
      <c r="U9" s="206">
        <f t="shared" si="0"/>
        <v>0.3125</v>
      </c>
      <c r="V9" s="206">
        <f t="shared" si="4"/>
        <v>0.41666666666666669</v>
      </c>
    </row>
    <row r="10" spans="1:22" s="26" customFormat="1" ht="34.950000000000003" customHeight="1" x14ac:dyDescent="0.3">
      <c r="A10" s="49"/>
      <c r="B10" s="51" t="str">
        <f t="shared" si="2"/>
        <v>Senin</v>
      </c>
      <c r="C10" s="51">
        <v>0.3125</v>
      </c>
      <c r="D10" s="51" t="str">
        <f t="shared" si="3"/>
        <v>s/d</v>
      </c>
      <c r="E10" s="51">
        <f t="shared" si="1"/>
        <v>0.41666666666666669</v>
      </c>
      <c r="F10" s="101" t="s">
        <v>595</v>
      </c>
      <c r="G10" s="115" t="s">
        <v>394</v>
      </c>
      <c r="H10" s="52" t="str">
        <f>IF(F10="","",VLOOKUP(F10,'SELECT KELAS GENAP'!C$8:N$181,2,FALSE))</f>
        <v>INF-55201-212</v>
      </c>
      <c r="I10" s="240" t="str">
        <f>IF(F10="","",VLOOKUP(F10,'SELECT KELAS GENAP'!C$8:N$175,3,FALSE))</f>
        <v>Analisis  dan  Perancangan  Sistem  </v>
      </c>
      <c r="J10" s="52" t="str">
        <f>IF(F10="","",VLOOKUP(F10,'SELECT KELAS GENAP'!C$8:N$181,12,FALSE))</f>
        <v>AS / FA</v>
      </c>
      <c r="K10" s="237" t="str">
        <f>IF(F10="","",VLOOKUP(F10,'SELECT KELAS GENAP'!C$8:N$181,8,FALSE))</f>
        <v>AS</v>
      </c>
      <c r="L10" s="237" t="str">
        <f>IF(F10="","",VLOOKUP(F10,'SELECT KELAS GENAP'!C$8:N$181,10,FALSE))</f>
        <v>FA</v>
      </c>
      <c r="M10" s="52" t="str">
        <f>IF(F10="","",VLOOKUP(F10,'SELECT KELAS GENAP'!C$8:N$181,6,FALSE))</f>
        <v>B</v>
      </c>
      <c r="N10" s="52">
        <f>IF(F10="","",VLOOKUP(F10,'SELECT KELAS GENAP'!C$8:N$181,4,FALSE))</f>
        <v>4</v>
      </c>
      <c r="O10" s="52">
        <f>IF(F10="","",VLOOKUP(F10,'SELECT KELAS GENAP'!C$8:N$181,5,FALSE))</f>
        <v>3</v>
      </c>
      <c r="P10" s="52">
        <f>IF(F10="","",VLOOKUP(F10,'SELECT KELAS GENAP'!C$8:W$181,21,FALSE))</f>
        <v>28</v>
      </c>
      <c r="Q10" s="52" t="str">
        <f>IF(F10="","",VLOOKUP(F10,'SELECT KELAS GENAP'!C$8:N$181,7,FALSE))</f>
        <v>Anggi Srimurdianti, S.T., M.T.</v>
      </c>
      <c r="R10" s="52" t="str">
        <f>IF(F10="","",VLOOKUP(F10,'SELECT KELAS GENAP'!C$8:N$181,9,FALSE))</f>
        <v>Fauzan Asrin, S.Kom, M. Kom.</v>
      </c>
      <c r="S10" s="98" t="str">
        <f>IF(F10="","",VLOOKUP(F10,'SELECT KELAS GENAP'!C$8:N$181,11,FALSE))</f>
        <v>Anggi Srimurdianti, S.T., M.T. / Fauzan Asrin, S.Kom, M. Kom.</v>
      </c>
      <c r="T10" s="52"/>
      <c r="U10" s="206">
        <f t="shared" si="0"/>
        <v>0.3125</v>
      </c>
      <c r="V10" s="206"/>
    </row>
    <row r="11" spans="1:22" s="26" customFormat="1" ht="34.950000000000003" customHeight="1" x14ac:dyDescent="0.3">
      <c r="B11" s="51" t="str">
        <f t="shared" si="2"/>
        <v>Senin</v>
      </c>
      <c r="C11" s="51">
        <v>0.3125</v>
      </c>
      <c r="D11" s="51" t="str">
        <f t="shared" si="3"/>
        <v>s/d</v>
      </c>
      <c r="E11" s="51">
        <f t="shared" si="1"/>
        <v>0.41666666666666669</v>
      </c>
      <c r="F11" s="101" t="s">
        <v>604</v>
      </c>
      <c r="G11" s="115" t="s">
        <v>394</v>
      </c>
      <c r="H11" s="52" t="str">
        <f>IF(F11="","",VLOOKUP(F11,'SELECT KELAS GENAP'!C$8:N$181,2,FALSE))</f>
        <v xml:space="preserve"> INF-55201-315</v>
      </c>
      <c r="I11" s="240" t="str">
        <f>IF(F11="","",VLOOKUP(F11,'SELECT KELAS GENAP'!C$8:N$175,3,FALSE))</f>
        <v>MK Pilihan Wajib Multimedia &amp; SIG (SIG)</v>
      </c>
      <c r="J11" s="52" t="str">
        <f>IF(F11="","",VLOOKUP(F11,'SELECT KELAS GENAP'!C$8:N$181,12,FALSE))</f>
        <v>AI / YS</v>
      </c>
      <c r="K11" s="237" t="str">
        <f>IF(F11="","",VLOOKUP(F11,'SELECT KELAS GENAP'!C$8:N$181,8,FALSE))</f>
        <v>AI</v>
      </c>
      <c r="L11" s="237" t="str">
        <f>IF(F11="","",VLOOKUP(F11,'SELECT KELAS GENAP'!C$8:N$181,10,FALSE))</f>
        <v>YS</v>
      </c>
      <c r="M11" s="52" t="str">
        <f>IF(F11="","",VLOOKUP(F11,'SELECT KELAS GENAP'!C$8:N$181,6,FALSE))</f>
        <v>D</v>
      </c>
      <c r="N11" s="52">
        <f>IF(F11="","",VLOOKUP(F11,'SELECT KELAS GENAP'!C$8:N$181,4,FALSE))</f>
        <v>6</v>
      </c>
      <c r="O11" s="52">
        <f>IF(F11="","",VLOOKUP(F11,'SELECT KELAS GENAP'!C$8:N$181,5,FALSE))</f>
        <v>3</v>
      </c>
      <c r="P11" s="52">
        <f>IF(F11="","",VLOOKUP(F11,'SELECT KELAS GENAP'!C$8:W$181,21,FALSE))</f>
        <v>28</v>
      </c>
      <c r="Q11" s="52" t="str">
        <f>IF(F11="","",VLOOKUP(F11,'SELECT KELAS GENAP'!C$8:N$181,7,FALSE))</f>
        <v>M.Azhar Irwansyah, S.T.,M.Eng.</v>
      </c>
      <c r="R11" s="52" t="str">
        <f>IF(F11="","",VLOOKUP(F11,'SELECT KELAS GENAP'!C$8:N$181,9,FALSE))</f>
        <v>Dr. Yus Sholva, S.T., M.T.</v>
      </c>
      <c r="S11" s="98" t="str">
        <f>IF(F11="","",VLOOKUP(F11,'SELECT KELAS GENAP'!C$8:N$181,11,FALSE))</f>
        <v>M.Azhar Irwansyah, S.T.,M.Eng. / Dr. Yus Sholva, S.T., M.T.</v>
      </c>
      <c r="T11" s="52"/>
      <c r="U11" s="206">
        <f t="shared" si="0"/>
        <v>0.3125</v>
      </c>
      <c r="V11" s="206">
        <f t="shared" si="4"/>
        <v>0.41666666666666669</v>
      </c>
    </row>
    <row r="12" spans="1:22" s="26" customFormat="1" ht="34.950000000000003" customHeight="1" x14ac:dyDescent="0.3">
      <c r="B12" s="51" t="str">
        <f t="shared" si="2"/>
        <v>Senin</v>
      </c>
      <c r="C12" s="51">
        <v>0.3125</v>
      </c>
      <c r="D12" s="51" t="str">
        <f t="shared" si="3"/>
        <v>s/d</v>
      </c>
      <c r="E12" s="51">
        <f t="shared" si="1"/>
        <v>0.41666666666666669</v>
      </c>
      <c r="F12" s="101" t="s">
        <v>548</v>
      </c>
      <c r="G12" s="115" t="s">
        <v>394</v>
      </c>
      <c r="H12" s="52" t="str">
        <f>IF(F12="","",VLOOKUP(F12,'SELECT KELAS GENAP'!C$8:N$181,2,FALSE))</f>
        <v xml:space="preserve"> INF-55201-314</v>
      </c>
      <c r="I12" s="240" t="str">
        <f>IF(F12="","",VLOOKUP(F12,'SELECT KELAS GENAP'!C$8:N$175,3,FALSE))</f>
        <v>MK Pilihan Wajib  Jaringan (Jaringan  Nirkabel  )</v>
      </c>
      <c r="J12" s="52" t="str">
        <f>IF(F12="","",VLOOKUP(F12,'SELECT KELAS GENAP'!C$8:N$181,12,FALSE))</f>
        <v>HP</v>
      </c>
      <c r="K12" s="237" t="str">
        <f>IF(F12="","",VLOOKUP(F12,'SELECT KELAS GENAP'!C$8:N$181,8,FALSE))</f>
        <v>HP</v>
      </c>
      <c r="L12" s="237" t="str">
        <f>IF(F12="","",VLOOKUP(F12,'SELECT KELAS GENAP'!C$8:N$181,10,FALSE))</f>
        <v>-</v>
      </c>
      <c r="M12" s="52" t="str">
        <f>IF(F12="","",VLOOKUP(F12,'SELECT KELAS GENAP'!C$8:N$181,6,FALSE))</f>
        <v>B</v>
      </c>
      <c r="N12" s="52">
        <f>IF(F12="","",VLOOKUP(F12,'SELECT KELAS GENAP'!C$8:N$181,4,FALSE))</f>
        <v>6</v>
      </c>
      <c r="O12" s="52">
        <f>IF(F12="","",VLOOKUP(F12,'SELECT KELAS GENAP'!C$8:N$181,5,FALSE))</f>
        <v>3</v>
      </c>
      <c r="P12" s="52">
        <f>IF(F12="","",VLOOKUP(F12,'SELECT KELAS GENAP'!C$8:W$181,21,FALSE))</f>
        <v>28</v>
      </c>
      <c r="Q12" s="52" t="str">
        <f>IF(F12="","",VLOOKUP(F12,'SELECT KELAS GENAP'!C$8:N$181,7,FALSE))</f>
        <v>Heri Priyanto,S.T., M.T.</v>
      </c>
      <c r="R12" s="52" t="str">
        <f>IF(F12="","",VLOOKUP(F12,'SELECT KELAS GENAP'!C$8:N$181,9,FALSE))</f>
        <v>None</v>
      </c>
      <c r="S12" s="98" t="str">
        <f>IF(F12="","",VLOOKUP(F12,'SELECT KELAS GENAP'!C$8:N$181,11,FALSE))</f>
        <v>Heri Priyanto,S.T., M.T.</v>
      </c>
      <c r="T12" s="52"/>
      <c r="U12" s="206">
        <f t="shared" si="0"/>
        <v>0.3125</v>
      </c>
      <c r="V12" s="206"/>
    </row>
    <row r="13" spans="1:22" s="26" customFormat="1" ht="34.950000000000003" customHeight="1" x14ac:dyDescent="0.3">
      <c r="B13" s="51" t="str">
        <f t="shared" ref="B13" si="5">IF(C13="","","Senin")</f>
        <v/>
      </c>
      <c r="C13" s="51"/>
      <c r="D13" s="51" t="str">
        <f t="shared" ref="D13" si="6">IF(C13="","","s/d")</f>
        <v/>
      </c>
      <c r="E13" s="51" t="str">
        <f t="shared" ref="E13" si="7">IF(O13="","",(IF(O13=4,C13+TIME(0,2*50,0),C13+TIME(0,O13*50,0))))</f>
        <v/>
      </c>
      <c r="F13" s="101"/>
      <c r="G13" s="115" t="s">
        <v>394</v>
      </c>
      <c r="H13" s="52" t="str">
        <f>IF(F13="","",VLOOKUP(F13,'SELECT KELAS GENAP'!C$8:N$181,2,FALSE))</f>
        <v/>
      </c>
      <c r="I13" s="240" t="str">
        <f>IF(F13="","",VLOOKUP(F13,'SELECT KELAS GENAP'!C$8:N$175,3,FALSE))</f>
        <v/>
      </c>
      <c r="J13" s="52" t="str">
        <f>IF(F13="","",VLOOKUP(F13,'SELECT KELAS GENAP'!C$8:N$181,12,FALSE))</f>
        <v/>
      </c>
      <c r="K13" s="237" t="str">
        <f>IF(F13="","",VLOOKUP(F13,'SELECT KELAS GENAP'!C$8:N$181,8,FALSE))</f>
        <v/>
      </c>
      <c r="L13" s="237" t="str">
        <f>IF(F13="","",VLOOKUP(F13,'SELECT KELAS GENAP'!C$8:N$181,10,FALSE))</f>
        <v/>
      </c>
      <c r="M13" s="52" t="str">
        <f>IF(F13="","",VLOOKUP(F13,'SELECT KELAS GENAP'!C$8:N$181,6,FALSE))</f>
        <v/>
      </c>
      <c r="N13" s="52" t="str">
        <f>IF(F13="","",VLOOKUP(F13,'SELECT KELAS GENAP'!C$8:N$181,4,FALSE))</f>
        <v/>
      </c>
      <c r="O13" s="52" t="str">
        <f>IF(F13="","",VLOOKUP(F13,'SELECT KELAS GENAP'!C$8:N$181,5,FALSE))</f>
        <v/>
      </c>
      <c r="P13" s="52" t="str">
        <f>IF(F13="","",VLOOKUP(F13,'SELECT KELAS GENAP'!C$8:W$181,21,FALSE))</f>
        <v/>
      </c>
      <c r="Q13" s="52" t="str">
        <f>IF(F13="","",VLOOKUP(F13,'SELECT KELAS GENAP'!C$8:N$181,7,FALSE))</f>
        <v/>
      </c>
      <c r="R13" s="52" t="str">
        <f>IF(F13="","",VLOOKUP(F13,'SELECT KELAS GENAP'!C$8:N$181,9,FALSE))</f>
        <v/>
      </c>
      <c r="S13" s="98" t="str">
        <f>IF(F13="","",VLOOKUP(F13,'SELECT KELAS GENAP'!C$8:N$181,11,FALSE))</f>
        <v/>
      </c>
      <c r="T13" s="52"/>
      <c r="U13" s="206"/>
      <c r="V13" s="206"/>
    </row>
    <row r="14" spans="1:22" s="26" customFormat="1" ht="34.950000000000003" customHeight="1" x14ac:dyDescent="0.3">
      <c r="A14" s="49"/>
      <c r="B14" s="51" t="str">
        <f t="shared" si="2"/>
        <v/>
      </c>
      <c r="C14" s="51"/>
      <c r="D14" s="51" t="str">
        <f t="shared" si="3"/>
        <v/>
      </c>
      <c r="E14" s="51"/>
      <c r="F14" s="101"/>
      <c r="G14" s="115"/>
      <c r="H14" s="52" t="str">
        <f>IF(F14="","",VLOOKUP(F14,'SELECT KELAS GENAP'!C$8:N$181,2,FALSE))</f>
        <v/>
      </c>
      <c r="I14" s="98" t="str">
        <f>IF(F14="","",VLOOKUP(F14,'SELECT KELAS GENAP'!C$8:N$175,3,FALSE))</f>
        <v/>
      </c>
      <c r="J14" s="52" t="str">
        <f>IF(F14="","",VLOOKUP(F14,'SELECT KELAS GENAP'!C$8:N$181,12,FALSE))</f>
        <v/>
      </c>
      <c r="K14" s="237" t="str">
        <f>IF(F14="","",VLOOKUP(F14,'SELECT KELAS GENAP'!C$8:N$181,8,FALSE))</f>
        <v/>
      </c>
      <c r="L14" s="237" t="str">
        <f>IF(F14="","",VLOOKUP(F14,'SELECT KELAS GENAP'!C$8:N$181,10,FALSE))</f>
        <v/>
      </c>
      <c r="M14" s="52" t="str">
        <f>IF(F14="","",VLOOKUP(F14,'SELECT KELAS GENAP'!C$8:N$181,6,FALSE))</f>
        <v/>
      </c>
      <c r="N14" s="52" t="str">
        <f>IF(F14="","",VLOOKUP(F14,'SELECT KELAS GENAP'!C$8:N$181,4,FALSE))</f>
        <v/>
      </c>
      <c r="O14" s="52" t="str">
        <f>IF(F14="","",VLOOKUP(F14,'SELECT KELAS GENAP'!C$8:N$181,5,FALSE))</f>
        <v/>
      </c>
      <c r="P14" s="52" t="str">
        <f>IF(F14="","",VLOOKUP(F14,'SELECT KELAS GENAP'!C$8:W$181,21,FALSE))</f>
        <v/>
      </c>
      <c r="Q14" s="52" t="str">
        <f>IF(F14="","",VLOOKUP(F14,'SELECT KELAS GENAP'!C$8:N$181,7,FALSE))</f>
        <v/>
      </c>
      <c r="R14" s="52" t="str">
        <f>IF(F14="","",VLOOKUP(F14,'SELECT KELAS GENAP'!C$8:N$181,9,FALSE))</f>
        <v/>
      </c>
      <c r="S14" s="98" t="str">
        <f>IF(F14="","",VLOOKUP(F14,'SELECT KELAS GENAP'!C$8:N$181,11,FALSE))</f>
        <v/>
      </c>
      <c r="T14" s="52"/>
      <c r="U14" s="206">
        <f t="shared" ref="U14:U74" si="8">C14</f>
        <v>0</v>
      </c>
      <c r="V14" s="206">
        <f t="shared" si="4"/>
        <v>0</v>
      </c>
    </row>
    <row r="15" spans="1:22" s="26" customFormat="1" ht="34.950000000000003" customHeight="1" x14ac:dyDescent="0.3">
      <c r="A15" s="49"/>
      <c r="B15" s="51" t="str">
        <f t="shared" si="2"/>
        <v>Senin</v>
      </c>
      <c r="C15" s="51">
        <v>0.4236111111111111</v>
      </c>
      <c r="D15" s="51" t="str">
        <f t="shared" si="3"/>
        <v>s/d</v>
      </c>
      <c r="E15" s="51">
        <f t="shared" ref="E15:E30" si="9">IF(O15="","",(IF(O15=4,C15+TIME(0,2*50,0),C15+TIME(0,O15*50,0))))</f>
        <v>0.49305555555555558</v>
      </c>
      <c r="F15" s="101" t="s">
        <v>532</v>
      </c>
      <c r="G15" s="115" t="s">
        <v>394</v>
      </c>
      <c r="H15" s="52" t="str">
        <f>IF(F15="","",VLOOKUP(F15,'SELECT KELAS GENAP'!C$8:N$181,2,FALSE))</f>
        <v>UMG-55201-102</v>
      </c>
      <c r="I15" s="231" t="str">
        <f>IF(F15="","",VLOOKUP(F15,'SELECT KELAS GENAP'!C$8:N$175,3,FALSE))</f>
        <v>Bahasa Indonesia</v>
      </c>
      <c r="J15" s="52" t="str">
        <f>IF(F15="","",VLOOKUP(F15,'SELECT KELAS GENAP'!C$8:N$181,12,FALSE))</f>
        <v>MKU</v>
      </c>
      <c r="K15" s="237" t="str">
        <f>IF(F15="","",VLOOKUP(F15,'SELECT KELAS GENAP'!C$8:N$181,8,FALSE))</f>
        <v>MKU</v>
      </c>
      <c r="L15" s="237" t="str">
        <f>IF(F15="","",VLOOKUP(F15,'SELECT KELAS GENAP'!C$8:N$181,10,FALSE))</f>
        <v>-</v>
      </c>
      <c r="M15" s="52" t="str">
        <f>IF(F15="","",VLOOKUP(F15,'SELECT KELAS GENAP'!C$8:N$181,6,FALSE))</f>
        <v>D</v>
      </c>
      <c r="N15" s="52">
        <f>IF(F15="","",VLOOKUP(F15,'SELECT KELAS GENAP'!C$8:N$181,4,FALSE))</f>
        <v>2</v>
      </c>
      <c r="O15" s="52">
        <f>IF(F15="","",VLOOKUP(F15,'SELECT KELAS GENAP'!C$8:N$181,5,FALSE))</f>
        <v>2</v>
      </c>
      <c r="P15" s="52">
        <f>IF(F15="","",VLOOKUP(F15,'SELECT KELAS GENAP'!C$8:W$181,21,FALSE))</f>
        <v>28</v>
      </c>
      <c r="Q15" s="52" t="str">
        <f>IF(F15="","",VLOOKUP(F15,'SELECT KELAS GENAP'!C$8:N$181,7,FALSE))</f>
        <v>MKU</v>
      </c>
      <c r="R15" s="52" t="str">
        <f>IF(F15="","",VLOOKUP(F15,'SELECT KELAS GENAP'!C$8:N$181,9,FALSE))</f>
        <v>None</v>
      </c>
      <c r="S15" s="98" t="str">
        <f>IF(F15="","",VLOOKUP(F15,'SELECT KELAS GENAP'!C$8:N$181,11,FALSE))</f>
        <v>MKU</v>
      </c>
      <c r="T15" s="52"/>
      <c r="U15" s="206">
        <f t="shared" si="8"/>
        <v>0.4236111111111111</v>
      </c>
      <c r="V15" s="206">
        <f t="shared" si="4"/>
        <v>0.49305555555555558</v>
      </c>
    </row>
    <row r="16" spans="1:22" s="26" customFormat="1" ht="34.950000000000003" customHeight="1" x14ac:dyDescent="0.3">
      <c r="A16" s="49"/>
      <c r="B16" s="51" t="str">
        <f t="shared" si="2"/>
        <v>Senin</v>
      </c>
      <c r="C16" s="51">
        <v>0.4236111111111111</v>
      </c>
      <c r="D16" s="51" t="str">
        <f t="shared" si="3"/>
        <v>s/d</v>
      </c>
      <c r="E16" s="51">
        <f t="shared" si="9"/>
        <v>0.49305555555555558</v>
      </c>
      <c r="F16" s="101" t="s">
        <v>567</v>
      </c>
      <c r="G16" s="115" t="s">
        <v>394</v>
      </c>
      <c r="H16" s="52" t="str">
        <f>IF(F16="","",VLOOKUP(F16,'SELECT KELAS GENAP'!C$8:N$181,2,FALSE))</f>
        <v>INF-55201-213</v>
      </c>
      <c r="I16" s="231" t="str">
        <f>IF(F16="","",VLOOKUP(F16,'SELECT KELAS GENAP'!C$8:N$175,3,FALSE))</f>
        <v>Sistem Informasi</v>
      </c>
      <c r="J16" s="52" t="str">
        <f>IF(F16="","",VLOOKUP(F16,'SELECT KELAS GENAP'!C$8:N$181,12,FALSE))</f>
        <v>EFR / YL</v>
      </c>
      <c r="K16" s="237" t="str">
        <f>IF(F16="","",VLOOKUP(F16,'SELECT KELAS GENAP'!C$8:N$181,8,FALSE))</f>
        <v>EFR</v>
      </c>
      <c r="L16" s="237" t="str">
        <f>IF(F16="","",VLOOKUP(F16,'SELECT KELAS GENAP'!C$8:N$181,10,FALSE))</f>
        <v>YL</v>
      </c>
      <c r="M16" s="52" t="str">
        <f>IF(F16="","",VLOOKUP(F16,'SELECT KELAS GENAP'!C$8:N$181,6,FALSE))</f>
        <v>D</v>
      </c>
      <c r="N16" s="52">
        <f>IF(F16="","",VLOOKUP(F16,'SELECT KELAS GENAP'!C$8:N$181,4,FALSE))</f>
        <v>4</v>
      </c>
      <c r="O16" s="52">
        <f>IF(F16="","",VLOOKUP(F16,'SELECT KELAS GENAP'!C$8:N$181,5,FALSE))</f>
        <v>2</v>
      </c>
      <c r="P16" s="52">
        <f>IF(F16="","",VLOOKUP(F16,'SELECT KELAS GENAP'!C$8:W$181,21,FALSE))</f>
        <v>28</v>
      </c>
      <c r="Q16" s="52" t="str">
        <f>IF(F16="","",VLOOKUP(F16,'SELECT KELAS GENAP'!C$8:N$181,7,FALSE))</f>
        <v>Eva Faja Ripanti, S.Kom, MMSI, Ph.D</v>
      </c>
      <c r="R16" s="52" t="str">
        <f>IF(F16="","",VLOOKUP(F16,'SELECT KELAS GENAP'!C$8:N$181,9,FALSE))</f>
        <v>Yulianti,S.Kom, MMSI</v>
      </c>
      <c r="S16" s="98" t="str">
        <f>IF(F16="","",VLOOKUP(F16,'SELECT KELAS GENAP'!C$8:N$181,11,FALSE))</f>
        <v>Eva Faja Ripanti, S.Kom, MMSI, Ph.D / Yulianti,S.Kom, MMSI</v>
      </c>
      <c r="T16" s="52"/>
      <c r="U16" s="206">
        <f t="shared" si="8"/>
        <v>0.4236111111111111</v>
      </c>
      <c r="V16" s="206">
        <f t="shared" si="4"/>
        <v>0.49305555555555558</v>
      </c>
    </row>
    <row r="17" spans="1:22" s="26" customFormat="1" ht="34.950000000000003" customHeight="1" x14ac:dyDescent="0.3">
      <c r="A17" s="49"/>
      <c r="B17" s="51" t="str">
        <f t="shared" si="2"/>
        <v>Senin</v>
      </c>
      <c r="C17" s="51">
        <v>0.4236111111111111</v>
      </c>
      <c r="D17" s="51" t="str">
        <f t="shared" si="3"/>
        <v>s/d</v>
      </c>
      <c r="E17" s="51">
        <f t="shared" si="9"/>
        <v>0.49305555555555558</v>
      </c>
      <c r="F17" s="101" t="s">
        <v>588</v>
      </c>
      <c r="G17" s="115" t="s">
        <v>394</v>
      </c>
      <c r="H17" s="52" t="str">
        <f>IF(F17="","",VLOOKUP(F17,'SELECT KELAS GENAP'!C$8:N$181,2,FALSE))</f>
        <v xml:space="preserve"> INF-55201-312</v>
      </c>
      <c r="I17" s="231" t="str">
        <f>IF(F17="","",VLOOKUP(F17,'SELECT KELAS GENAP'!C$8:N$175,3,FALSE))</f>
        <v>Sosio dan Etika Profesi</v>
      </c>
      <c r="J17" s="52" t="str">
        <f>IF(F17="","",VLOOKUP(F17,'SELECT KELAS GENAP'!C$8:N$181,12,FALSE))</f>
        <v>HM</v>
      </c>
      <c r="K17" s="237" t="str">
        <f>IF(F17="","",VLOOKUP(F17,'SELECT KELAS GENAP'!C$8:N$181,8,FALSE))</f>
        <v>HM</v>
      </c>
      <c r="L17" s="237" t="str">
        <f>IF(F17="","",VLOOKUP(F17,'SELECT KELAS GENAP'!C$8:N$181,10,FALSE))</f>
        <v>-</v>
      </c>
      <c r="M17" s="52" t="str">
        <f>IF(F17="","",VLOOKUP(F17,'SELECT KELAS GENAP'!C$8:N$181,6,FALSE))</f>
        <v>B</v>
      </c>
      <c r="N17" s="52">
        <f>IF(F17="","",VLOOKUP(F17,'SELECT KELAS GENAP'!C$8:N$181,4,FALSE))</f>
        <v>6</v>
      </c>
      <c r="O17" s="52">
        <f>IF(F17="","",VLOOKUP(F17,'SELECT KELAS GENAP'!C$8:N$181,5,FALSE))</f>
        <v>2</v>
      </c>
      <c r="P17" s="52">
        <f>IF(F17="","",VLOOKUP(F17,'SELECT KELAS GENAP'!C$8:W$181,21,FALSE))</f>
        <v>28</v>
      </c>
      <c r="Q17" s="52" t="str">
        <f>IF(F17="","",VLOOKUP(F17,'SELECT KELAS GENAP'!C$8:N$181,7,FALSE))</f>
        <v>Hafiz Muhardi, S.T., M.Kom</v>
      </c>
      <c r="R17" s="52" t="str">
        <f>IF(F17="","",VLOOKUP(F17,'SELECT KELAS GENAP'!C$8:N$181,9,FALSE))</f>
        <v>None</v>
      </c>
      <c r="S17" s="98" t="str">
        <f>IF(F17="","",VLOOKUP(F17,'SELECT KELAS GENAP'!C$8:N$181,11,FALSE))</f>
        <v>Hafiz Muhardi, S.T., M.Kom</v>
      </c>
      <c r="T17" s="52"/>
      <c r="U17" s="206">
        <f t="shared" si="8"/>
        <v>0.4236111111111111</v>
      </c>
      <c r="V17" s="206">
        <f t="shared" si="4"/>
        <v>0.49305555555555558</v>
      </c>
    </row>
    <row r="18" spans="1:22" s="26" customFormat="1" ht="34.950000000000003" customHeight="1" x14ac:dyDescent="0.3">
      <c r="A18" s="49"/>
      <c r="B18" s="51" t="str">
        <f t="shared" si="2"/>
        <v>Senin</v>
      </c>
      <c r="C18" s="51">
        <v>0.4236111111111111</v>
      </c>
      <c r="D18" s="51" t="str">
        <f t="shared" si="3"/>
        <v>s/d</v>
      </c>
      <c r="E18" s="51">
        <f t="shared" si="9"/>
        <v>0.49305555555555558</v>
      </c>
      <c r="F18" s="101" t="s">
        <v>593</v>
      </c>
      <c r="G18" s="115"/>
      <c r="H18" s="52" t="str">
        <f>IF(F18="","",VLOOKUP(F18,'SELECT KELAS GENAP'!C$8:N$181,2,FALSE))</f>
        <v xml:space="preserve"> INF-55201-307</v>
      </c>
      <c r="I18" s="231" t="str">
        <f>IF(F18="","",VLOOKUP(F18,'SELECT KELAS GENAP'!C$8:N$175,3,FALSE))</f>
        <v xml:space="preserve">Teori Komputer Grafis </v>
      </c>
      <c r="J18" s="52" t="str">
        <f>IF(F18="","",VLOOKUP(F18,'SELECT KELAS GENAP'!C$8:N$181,12,FALSE))</f>
        <v>HA</v>
      </c>
      <c r="K18" s="237" t="str">
        <f>IF(F18="","",VLOOKUP(F18,'SELECT KELAS GENAP'!C$8:N$181,8,FALSE))</f>
        <v>HA</v>
      </c>
      <c r="L18" s="237" t="str">
        <f>IF(F18="","",VLOOKUP(F18,'SELECT KELAS GENAP'!C$8:N$181,10,FALSE))</f>
        <v>-</v>
      </c>
      <c r="M18" s="52" t="str">
        <f>IF(F18="","",VLOOKUP(F18,'SELECT KELAS GENAP'!C$8:N$181,6,FALSE))</f>
        <v>D</v>
      </c>
      <c r="N18" s="52">
        <f>IF(F18="","",VLOOKUP(F18,'SELECT KELAS GENAP'!C$8:N$181,4,FALSE))</f>
        <v>6</v>
      </c>
      <c r="O18" s="52">
        <f>IF(F18="","",VLOOKUP(F18,'SELECT KELAS GENAP'!C$8:N$181,5,FALSE))</f>
        <v>2</v>
      </c>
      <c r="P18" s="52">
        <f>IF(F18="","",VLOOKUP(F18,'SELECT KELAS GENAP'!C$8:W$181,21,FALSE))</f>
        <v>28</v>
      </c>
      <c r="Q18" s="52" t="str">
        <f>IF(F18="","",VLOOKUP(F18,'SELECT KELAS GENAP'!C$8:N$181,7,FALSE))</f>
        <v>H. Hengky Anra, S.T., M.Kom</v>
      </c>
      <c r="R18" s="52" t="str">
        <f>IF(F18="","",VLOOKUP(F18,'SELECT KELAS GENAP'!C$8:N$181,9,FALSE))</f>
        <v>None</v>
      </c>
      <c r="S18" s="98" t="str">
        <f>IF(F18="","",VLOOKUP(F18,'SELECT KELAS GENAP'!C$8:N$181,11,FALSE))</f>
        <v>H. Hengky Anra, S.T., M.Kom</v>
      </c>
      <c r="T18" s="52"/>
      <c r="U18" s="206">
        <f t="shared" si="8"/>
        <v>0.4236111111111111</v>
      </c>
      <c r="V18" s="206">
        <f t="shared" si="4"/>
        <v>0.49305555555555558</v>
      </c>
    </row>
    <row r="19" spans="1:22" s="26" customFormat="1" ht="34.950000000000003" customHeight="1" x14ac:dyDescent="0.3">
      <c r="A19" s="49"/>
      <c r="B19" s="51"/>
      <c r="C19" s="51"/>
      <c r="D19" s="51"/>
      <c r="E19" s="51"/>
      <c r="F19" s="101"/>
      <c r="G19" s="115"/>
      <c r="H19" s="52"/>
      <c r="I19" s="98"/>
      <c r="J19" s="52"/>
      <c r="K19" s="237"/>
      <c r="L19" s="237"/>
      <c r="M19" s="52"/>
      <c r="N19" s="52"/>
      <c r="O19" s="52"/>
      <c r="P19" s="52"/>
      <c r="Q19" s="52"/>
      <c r="R19" s="52"/>
      <c r="S19" s="98"/>
      <c r="T19" s="52"/>
      <c r="U19" s="206"/>
      <c r="V19" s="206"/>
    </row>
    <row r="20" spans="1:22" s="26" customFormat="1" ht="34.950000000000003" customHeight="1" x14ac:dyDescent="0.3">
      <c r="A20" s="49"/>
      <c r="B20" s="51" t="str">
        <f t="shared" si="2"/>
        <v>Senin</v>
      </c>
      <c r="C20" s="51">
        <v>0.53125</v>
      </c>
      <c r="D20" s="51" t="str">
        <f t="shared" si="3"/>
        <v>s/d</v>
      </c>
      <c r="E20" s="51">
        <f t="shared" si="9"/>
        <v>0.60069444444444442</v>
      </c>
      <c r="F20" s="101" t="s">
        <v>514</v>
      </c>
      <c r="G20" s="115" t="s">
        <v>394</v>
      </c>
      <c r="H20" s="52" t="str">
        <f>IF(F20="","",VLOOKUP(F20,'SELECT KELAS GENAP'!C$8:N$181,2,FALSE))</f>
        <v>INF-55201-109</v>
      </c>
      <c r="I20" s="232" t="str">
        <f>IF(F20="","",VLOOKUP(F20,'SELECT KELAS GENAP'!C$8:N$175,3,FALSE))</f>
        <v>Struktur  Data  dan Algoritma*</v>
      </c>
      <c r="J20" s="52" t="str">
        <f>IF(F20="","",VLOOKUP(F20,'SELECT KELAS GENAP'!C$8:N$181,12,FALSE))</f>
        <v>TZ / FA</v>
      </c>
      <c r="K20" s="237" t="str">
        <f>IF(F20="","",VLOOKUP(F20,'SELECT KELAS GENAP'!C$8:N$181,8,FALSE))</f>
        <v>TZ</v>
      </c>
      <c r="L20" s="237" t="str">
        <f>IF(F20="","",VLOOKUP(F20,'SELECT KELAS GENAP'!C$8:N$181,10,FALSE))</f>
        <v>FA</v>
      </c>
      <c r="M20" s="52" t="str">
        <f>IF(F20="","",VLOOKUP(F20,'SELECT KELAS GENAP'!C$8:N$181,6,FALSE))</f>
        <v>A</v>
      </c>
      <c r="N20" s="52">
        <f>IF(F20="","",VLOOKUP(F20,'SELECT KELAS GENAP'!C$8:N$181,4,FALSE))</f>
        <v>2</v>
      </c>
      <c r="O20" s="52">
        <f>IF(F20="","",VLOOKUP(F20,'SELECT KELAS GENAP'!C$8:N$181,5,FALSE))</f>
        <v>4</v>
      </c>
      <c r="P20" s="52">
        <f>IF(F20="","",VLOOKUP(F20,'SELECT KELAS GENAP'!C$8:W$181,21,FALSE))</f>
        <v>35</v>
      </c>
      <c r="Q20" s="52" t="str">
        <f>IF(F20="","",VLOOKUP(F20,'SELECT KELAS GENAP'!C$8:N$181,7,FALSE))</f>
        <v>Morteza Muthahhari, S.Kom., M.T.I</v>
      </c>
      <c r="R20" s="52" t="str">
        <f>IF(F20="","",VLOOKUP(F20,'SELECT KELAS GENAP'!C$8:N$181,9,FALSE))</f>
        <v>Fauzan Asrin, S.Kom, M. Kom.</v>
      </c>
      <c r="S20" s="98" t="str">
        <f>IF(F20="","",VLOOKUP(F20,'SELECT KELAS GENAP'!C$8:N$181,11,FALSE))</f>
        <v>Morteza Muthahhari, S.Kom., M.T.I / Fauzan Asrin, S.Kom, M. Kom.</v>
      </c>
      <c r="T20" s="52"/>
      <c r="U20" s="206">
        <f t="shared" si="8"/>
        <v>0.53125</v>
      </c>
      <c r="V20" s="206">
        <f t="shared" si="4"/>
        <v>0.60069444444444442</v>
      </c>
    </row>
    <row r="21" spans="1:22" s="26" customFormat="1" ht="34.950000000000003" customHeight="1" x14ac:dyDescent="0.3">
      <c r="A21" s="49"/>
      <c r="B21" s="51" t="str">
        <f t="shared" si="2"/>
        <v>Senin</v>
      </c>
      <c r="C21" s="51">
        <v>0.53125</v>
      </c>
      <c r="D21" s="51" t="str">
        <f t="shared" si="3"/>
        <v>s/d</v>
      </c>
      <c r="E21" s="51">
        <f t="shared" si="9"/>
        <v>0.60069444444444442</v>
      </c>
      <c r="F21" s="101" t="s">
        <v>570</v>
      </c>
      <c r="G21" s="115" t="s">
        <v>394</v>
      </c>
      <c r="H21" s="52" t="str">
        <f>IF(F21="","",VLOOKUP(F21,'SELECT KELAS GENAP'!C$8:N$181,2,FALSE))</f>
        <v>INF-55201-208</v>
      </c>
      <c r="I21" s="232" t="str">
        <f>IF(F21="","",VLOOKUP(F21,'SELECT KELAS GENAP'!C$8:N$175,3,FALSE))</f>
        <v>Manajemen Basis Data*</v>
      </c>
      <c r="J21" s="52" t="str">
        <f>IF(F21="","",VLOOKUP(F21,'SELECT KELAS GENAP'!C$8:N$181,12,FALSE))</f>
        <v>HN / HSP</v>
      </c>
      <c r="K21" s="237" t="str">
        <f>IF(F21="","",VLOOKUP(F21,'SELECT KELAS GENAP'!C$8:N$181,8,FALSE))</f>
        <v>HN</v>
      </c>
      <c r="L21" s="237" t="str">
        <f>IF(F21="","",VLOOKUP(F21,'SELECT KELAS GENAP'!C$8:N$181,10,FALSE))</f>
        <v>HSP</v>
      </c>
      <c r="M21" s="52" t="str">
        <f>IF(F21="","",VLOOKUP(F21,'SELECT KELAS GENAP'!C$8:N$181,6,FALSE))</f>
        <v>B</v>
      </c>
      <c r="N21" s="52">
        <f>IF(F21="","",VLOOKUP(F21,'SELECT KELAS GENAP'!C$8:N$181,4,FALSE))</f>
        <v>4</v>
      </c>
      <c r="O21" s="52">
        <f>IF(F21="","",VLOOKUP(F21,'SELECT KELAS GENAP'!C$8:N$181,5,FALSE))</f>
        <v>4</v>
      </c>
      <c r="P21" s="52">
        <f>IF(F21="","",VLOOKUP(F21,'SELECT KELAS GENAP'!C$8:W$181,21,FALSE))</f>
        <v>35</v>
      </c>
      <c r="Q21" s="52" t="str">
        <f>IF(F21="","",VLOOKUP(F21,'SELECT KELAS GENAP'!C$8:N$181,7,FALSE))</f>
        <v>Haried Novriando, S.Kom, M.Eng</v>
      </c>
      <c r="R21" s="52" t="str">
        <f>IF(F21="","",VLOOKUP(F21,'SELECT KELAS GENAP'!C$8:N$181,9,FALSE))</f>
        <v>Helen Sastypratiwi, S.T., M.Eng</v>
      </c>
      <c r="S21" s="98" t="str">
        <f>IF(F21="","",VLOOKUP(F21,'SELECT KELAS GENAP'!C$8:N$181,11,FALSE))</f>
        <v>Haried Novriando, S.Kom, M.Eng / Helen Sastypratiwi, S.T., M.Eng</v>
      </c>
      <c r="T21" s="52"/>
      <c r="U21" s="206">
        <f t="shared" si="8"/>
        <v>0.53125</v>
      </c>
      <c r="V21" s="206">
        <f t="shared" si="4"/>
        <v>0.60069444444444442</v>
      </c>
    </row>
    <row r="22" spans="1:22" s="26" customFormat="1" ht="34.950000000000003" customHeight="1" x14ac:dyDescent="0.3">
      <c r="A22" s="49"/>
      <c r="B22" s="51" t="str">
        <f t="shared" si="2"/>
        <v>Senin</v>
      </c>
      <c r="C22" s="51">
        <v>0.53125</v>
      </c>
      <c r="D22" s="51" t="str">
        <f t="shared" si="3"/>
        <v>s/d</v>
      </c>
      <c r="E22" s="51">
        <f t="shared" si="9"/>
        <v>0.60069444444444442</v>
      </c>
      <c r="F22" s="101" t="s">
        <v>605</v>
      </c>
      <c r="G22" s="115" t="s">
        <v>394</v>
      </c>
      <c r="H22" s="52" t="str">
        <f>IF(F22="","",VLOOKUP(F22,'SELECT KELAS GENAP'!C$8:N$181,2,FALSE))</f>
        <v>INF-55201-211</v>
      </c>
      <c r="I22" s="232" t="str">
        <f>IF(F22="","",VLOOKUP(F22,'SELECT KELAS GENAP'!C$8:N$175,3,FALSE))</f>
        <v>Pemrograman  Berorientasi  Objek * </v>
      </c>
      <c r="J22" s="52" t="str">
        <f>IF(F22="","",VLOOKUP(F22,'SELECT KELAS GENAP'!C$8:N$181,12,FALSE))</f>
        <v>RDN</v>
      </c>
      <c r="K22" s="237" t="str">
        <f>IF(F22="","",VLOOKUP(F22,'SELECT KELAS GENAP'!C$8:N$181,8,FALSE))</f>
        <v>RDN</v>
      </c>
      <c r="L22" s="237" t="str">
        <f>IF(F22="","",VLOOKUP(F22,'SELECT KELAS GENAP'!C$8:N$181,10,FALSE))</f>
        <v>-</v>
      </c>
      <c r="M22" s="52" t="str">
        <f>IF(F22="","",VLOOKUP(F22,'SELECT KELAS GENAP'!C$8:N$181,6,FALSE))</f>
        <v>A</v>
      </c>
      <c r="N22" s="52">
        <f>IF(F22="","",VLOOKUP(F22,'SELECT KELAS GENAP'!C$8:N$181,4,FALSE))</f>
        <v>4</v>
      </c>
      <c r="O22" s="52">
        <f>IF(F22="","",VLOOKUP(F22,'SELECT KELAS GENAP'!C$8:N$181,5,FALSE))</f>
        <v>4</v>
      </c>
      <c r="P22" s="52">
        <f>IF(F22="","",VLOOKUP(F22,'SELECT KELAS GENAP'!C$8:W$181,21,FALSE))</f>
        <v>35</v>
      </c>
      <c r="Q22" s="52" t="str">
        <f>IF(F22="","",VLOOKUP(F22,'SELECT KELAS GENAP'!C$8:N$181,7,FALSE))</f>
        <v>Rudy Dwi Nyoto, S.T., M.Eng</v>
      </c>
      <c r="R22" s="52" t="str">
        <f>IF(F22="","",VLOOKUP(F22,'SELECT KELAS GENAP'!C$8:N$181,9,FALSE))</f>
        <v>None</v>
      </c>
      <c r="S22" s="98" t="str">
        <f>IF(F22="","",VLOOKUP(F22,'SELECT KELAS GENAP'!C$8:N$181,11,FALSE))</f>
        <v>Rudy Dwi Nyoto, S.T., M.Eng</v>
      </c>
      <c r="T22" s="52"/>
      <c r="U22" s="206">
        <f t="shared" si="8"/>
        <v>0.53125</v>
      </c>
      <c r="V22" s="206">
        <f t="shared" si="4"/>
        <v>0.60069444444444442</v>
      </c>
    </row>
    <row r="23" spans="1:22" s="26" customFormat="1" ht="34.950000000000003" customHeight="1" x14ac:dyDescent="0.3">
      <c r="A23" s="49"/>
      <c r="B23" s="51" t="str">
        <f t="shared" si="2"/>
        <v>Senin</v>
      </c>
      <c r="C23" s="51">
        <v>0.53125</v>
      </c>
      <c r="D23" s="51" t="str">
        <f t="shared" ref="D23:D24" si="10">IF(C23="","","s/d")</f>
        <v>s/d</v>
      </c>
      <c r="E23" s="51">
        <f t="shared" ref="E23:E24" si="11">IF(O23="","",(IF(O23=4,C23+TIME(0,2*50,0),C23+TIME(0,O23*50,0))))</f>
        <v>0.60069444444444442</v>
      </c>
      <c r="F23" s="101" t="s">
        <v>555</v>
      </c>
      <c r="G23" s="115" t="s">
        <v>394</v>
      </c>
      <c r="H23" s="52" t="str">
        <f>IF(F23="","",VLOOKUP(F23,'SELECT KELAS GENAP'!C$8:N$181,2,FALSE))</f>
        <v xml:space="preserve"> INF-55201-316</v>
      </c>
      <c r="I23" s="232" t="str">
        <f>IF(F23="","",VLOOKUP(F23,'SELECT KELAS GENAP'!C$8:N$175,3,FALSE))</f>
        <v>Proyek Perangkat  Lunak*</v>
      </c>
      <c r="J23" s="52" t="str">
        <f>IF(F23="","",VLOOKUP(F23,'SELECT KELAS GENAP'!C$8:N$181,12,FALSE))</f>
        <v>AP / DIU</v>
      </c>
      <c r="K23" s="237" t="str">
        <f>IF(F23="","",VLOOKUP(F23,'SELECT KELAS GENAP'!C$8:N$181,8,FALSE))</f>
        <v>AP</v>
      </c>
      <c r="L23" s="237" t="str">
        <f>IF(F23="","",VLOOKUP(F23,'SELECT KELAS GENAP'!C$8:N$181,10,FALSE))</f>
        <v>DIU</v>
      </c>
      <c r="M23" s="52" t="str">
        <f>IF(F23="","",VLOOKUP(F23,'SELECT KELAS GENAP'!C$8:N$181,6,FALSE))</f>
        <v>B</v>
      </c>
      <c r="N23" s="52">
        <f>IF(F23="","",VLOOKUP(F23,'SELECT KELAS GENAP'!C$8:N$181,4,FALSE))</f>
        <v>6</v>
      </c>
      <c r="O23" s="52">
        <f>IF(F23="","",VLOOKUP(F23,'SELECT KELAS GENAP'!C$8:N$181,5,FALSE))</f>
        <v>4</v>
      </c>
      <c r="P23" s="52">
        <f>IF(F23="","",VLOOKUP(F23,'SELECT KELAS GENAP'!C$8:W$181,21,FALSE))</f>
        <v>35</v>
      </c>
      <c r="Q23" s="52" t="str">
        <f>IF(F23="","",VLOOKUP(F23,'SELECT KELAS GENAP'!C$8:N$181,7,FALSE))</f>
        <v>Anggi Perwitasari, S.T., M.T.</v>
      </c>
      <c r="R23" s="52" t="str">
        <f>IF(F23="","",VLOOKUP(F23,'SELECT KELAS GENAP'!C$8:N$181,9,FALSE))</f>
        <v>Desepta Isna Ulumi, S.Kom, M.Kom.</v>
      </c>
      <c r="S23" s="98" t="str">
        <f>IF(F23="","",VLOOKUP(F23,'SELECT KELAS GENAP'!C$8:N$181,11,FALSE))</f>
        <v>Anggi Perwitasari, S.T., M.T. / Desepta Isna Ulumi, S.Kom, M.Kom.</v>
      </c>
      <c r="T23" s="52"/>
      <c r="U23" s="206"/>
      <c r="V23" s="206"/>
    </row>
    <row r="24" spans="1:22" s="26" customFormat="1" ht="34.950000000000003" customHeight="1" x14ac:dyDescent="0.3">
      <c r="A24" s="49"/>
      <c r="B24" s="51" t="str">
        <f t="shared" si="2"/>
        <v/>
      </c>
      <c r="C24" s="51"/>
      <c r="D24" s="51" t="str">
        <f t="shared" si="10"/>
        <v/>
      </c>
      <c r="E24" s="51" t="str">
        <f t="shared" si="11"/>
        <v/>
      </c>
      <c r="F24" s="101"/>
      <c r="G24" s="115" t="s">
        <v>394</v>
      </c>
      <c r="H24" s="52" t="str">
        <f>IF(F24="","",VLOOKUP(F24,'SELECT KELAS GENAP'!C$8:N$181,2,FALSE))</f>
        <v/>
      </c>
      <c r="I24" s="98" t="str">
        <f>IF(F24="","",VLOOKUP(F24,'SELECT KELAS GENAP'!C$8:N$175,3,FALSE))</f>
        <v/>
      </c>
      <c r="J24" s="52" t="str">
        <f>IF(F24="","",VLOOKUP(F24,'SELECT KELAS GENAP'!C$8:N$181,12,FALSE))</f>
        <v/>
      </c>
      <c r="K24" s="237" t="str">
        <f>IF(F24="","",VLOOKUP(F24,'SELECT KELAS GENAP'!C$8:N$181,8,FALSE))</f>
        <v/>
      </c>
      <c r="L24" s="237" t="str">
        <f>IF(F24="","",VLOOKUP(F24,'SELECT KELAS GENAP'!C$8:N$181,10,FALSE))</f>
        <v/>
      </c>
      <c r="M24" s="52" t="str">
        <f>IF(F24="","",VLOOKUP(F24,'SELECT KELAS GENAP'!C$8:N$181,6,FALSE))</f>
        <v/>
      </c>
      <c r="N24" s="52" t="str">
        <f>IF(F24="","",VLOOKUP(F24,'SELECT KELAS GENAP'!C$8:N$181,4,FALSE))</f>
        <v/>
      </c>
      <c r="O24" s="52" t="str">
        <f>IF(F24="","",VLOOKUP(F24,'SELECT KELAS GENAP'!C$8:N$181,5,FALSE))</f>
        <v/>
      </c>
      <c r="P24" s="52" t="str">
        <f>IF(F24="","",VLOOKUP(F24,'SELECT KELAS GENAP'!C$8:W$181,21,FALSE))</f>
        <v/>
      </c>
      <c r="Q24" s="52" t="str">
        <f>IF(F24="","",VLOOKUP(F24,'SELECT KELAS GENAP'!C$8:N$181,7,FALSE))</f>
        <v/>
      </c>
      <c r="R24" s="52" t="str">
        <f>IF(F24="","",VLOOKUP(F24,'SELECT KELAS GENAP'!C$8:N$181,9,FALSE))</f>
        <v/>
      </c>
      <c r="S24" s="98" t="str">
        <f>IF(F24="","",VLOOKUP(F24,'SELECT KELAS GENAP'!C$8:N$181,11,FALSE))</f>
        <v/>
      </c>
      <c r="T24" s="52"/>
      <c r="U24" s="206"/>
      <c r="V24" s="206"/>
    </row>
    <row r="25" spans="1:22" s="26" customFormat="1" ht="34.950000000000003" customHeight="1" x14ac:dyDescent="0.3">
      <c r="A25" s="49"/>
      <c r="B25" s="51" t="str">
        <f t="shared" si="2"/>
        <v>Senin</v>
      </c>
      <c r="C25" s="51">
        <v>0.60763888888888895</v>
      </c>
      <c r="D25" s="51" t="str">
        <f t="shared" si="3"/>
        <v>s/d</v>
      </c>
      <c r="E25" s="51">
        <f t="shared" si="9"/>
        <v>0.71180555555555558</v>
      </c>
      <c r="F25" s="101" t="s">
        <v>511</v>
      </c>
      <c r="G25" s="115" t="s">
        <v>394</v>
      </c>
      <c r="H25" s="52" t="str">
        <f>IF(F25="","",VLOOKUP(F25,'SELECT KELAS GENAP'!C$8:N$181,2,FALSE))</f>
        <v>INF-55201-107</v>
      </c>
      <c r="I25" s="233" t="str">
        <f>IF(F25="","",VLOOKUP(F25,'SELECT KELAS GENAP'!C$8:N$175,3,FALSE))</f>
        <v>Organisasi  dan Arsitektur Komputer  </v>
      </c>
      <c r="J25" s="52" t="str">
        <f>IF(F25="","",VLOOKUP(F25,'SELECT KELAS GENAP'!C$8:N$181,12,FALSE))</f>
        <v>TZ / AAJ</v>
      </c>
      <c r="K25" s="237" t="str">
        <f>IF(F25="","",VLOOKUP(F25,'SELECT KELAS GENAP'!C$8:N$181,8,FALSE))</f>
        <v>TZ</v>
      </c>
      <c r="L25" s="237" t="str">
        <f>IF(F25="","",VLOOKUP(F25,'SELECT KELAS GENAP'!C$8:N$181,10,FALSE))</f>
        <v>AAJ</v>
      </c>
      <c r="M25" s="52" t="str">
        <f>IF(F25="","",VLOOKUP(F25,'SELECT KELAS GENAP'!C$8:N$181,6,FALSE))</f>
        <v>A</v>
      </c>
      <c r="N25" s="52">
        <f>IF(F25="","",VLOOKUP(F25,'SELECT KELAS GENAP'!C$8:N$181,4,FALSE))</f>
        <v>2</v>
      </c>
      <c r="O25" s="52">
        <f>IF(F25="","",VLOOKUP(F25,'SELECT KELAS GENAP'!C$8:N$181,5,FALSE))</f>
        <v>3</v>
      </c>
      <c r="P25" s="52">
        <f>IF(F25="","",VLOOKUP(F25,'SELECT KELAS GENAP'!C$8:W$181,21,FALSE))</f>
        <v>28</v>
      </c>
      <c r="Q25" s="52" t="str">
        <f>IF(F25="","",VLOOKUP(F25,'SELECT KELAS GENAP'!C$8:N$181,7,FALSE))</f>
        <v>Morteza Muthahhari, S.Kom., M.T.I</v>
      </c>
      <c r="R25" s="52" t="str">
        <f>IF(F25="","",VLOOKUP(F25,'SELECT KELAS GENAP'!C$8:N$181,9,FALSE))</f>
        <v>Alfian Abdul Jalid, S.Kom., M.Cs.</v>
      </c>
      <c r="S25" s="98" t="str">
        <f>IF(F25="","",VLOOKUP(F25,'SELECT KELAS GENAP'!C$8:N$181,11,FALSE))</f>
        <v>Morteza Muthahhari, S.Kom., M.T.I / Alfian Abdul Jalid, S.Kom., M.Cs.</v>
      </c>
      <c r="T25" s="52"/>
      <c r="U25" s="206">
        <f t="shared" si="8"/>
        <v>0.60763888888888895</v>
      </c>
      <c r="V25" s="206">
        <f t="shared" si="4"/>
        <v>0.71180555555555558</v>
      </c>
    </row>
    <row r="26" spans="1:22" s="26" customFormat="1" ht="34.950000000000003" customHeight="1" x14ac:dyDescent="0.3">
      <c r="A26" s="49"/>
      <c r="B26" s="51" t="str">
        <f t="shared" ref="B26" si="12">IF(C26="","","Senin")</f>
        <v>Senin</v>
      </c>
      <c r="C26" s="51">
        <v>0.60763888888888895</v>
      </c>
      <c r="D26" s="51" t="str">
        <f t="shared" ref="D26" si="13">IF(C26="","","s/d")</f>
        <v>s/d</v>
      </c>
      <c r="E26" s="51">
        <f t="shared" ref="E26" si="14">IF(O26="","",(IF(O26=4,C26+TIME(0,2*50,0),C26+TIME(0,O26*50,0))))</f>
        <v>0.71180555555555558</v>
      </c>
      <c r="F26" s="101" t="s">
        <v>580</v>
      </c>
      <c r="G26" s="115"/>
      <c r="H26" s="52" t="str">
        <f>IF(F26="","",VLOOKUP(F26,'SELECT KELAS GENAP'!C$8:N$181,2,FALSE))</f>
        <v>INF-55201-105</v>
      </c>
      <c r="I26" s="233" t="str">
        <f>IF(F26="","",VLOOKUP(F26,'SELECT KELAS GENAP'!C$8:N$175,3,FALSE))</f>
        <v>Probabilitas  dan  Statistik  </v>
      </c>
      <c r="J26" s="52" t="str">
        <f>IF(F26="","",VLOOKUP(F26,'SELECT KELAS GENAP'!C$8:N$181,12,FALSE))</f>
        <v>HSP / RS</v>
      </c>
      <c r="K26" s="237" t="str">
        <f>IF(F26="","",VLOOKUP(F26,'SELECT KELAS GENAP'!C$8:N$181,8,FALSE))</f>
        <v>HSP</v>
      </c>
      <c r="L26" s="237" t="str">
        <f>IF(F26="","",VLOOKUP(F26,'SELECT KELAS GENAP'!C$8:N$181,10,FALSE))</f>
        <v>RS</v>
      </c>
      <c r="M26" s="52" t="str">
        <f>IF(F26="","",VLOOKUP(F26,'SELECT KELAS GENAP'!C$8:N$181,6,FALSE))</f>
        <v>C</v>
      </c>
      <c r="N26" s="52">
        <f>IF(F26="","",VLOOKUP(F26,'SELECT KELAS GENAP'!C$8:N$181,4,FALSE))</f>
        <v>2</v>
      </c>
      <c r="O26" s="52">
        <f>IF(F26="","",VLOOKUP(F26,'SELECT KELAS GENAP'!C$8:N$181,5,FALSE))</f>
        <v>3</v>
      </c>
      <c r="P26" s="52">
        <f>IF(F26="","",VLOOKUP(F26,'SELECT KELAS GENAP'!C$8:W$181,21,FALSE))</f>
        <v>28</v>
      </c>
      <c r="Q26" s="52" t="str">
        <f>IF(F26="","",VLOOKUP(F26,'SELECT KELAS GENAP'!C$8:N$181,7,FALSE))</f>
        <v>Helen Sastypratiwi, S.T., M.Eng</v>
      </c>
      <c r="R26" s="52" t="str">
        <f>IF(F26="","",VLOOKUP(F26,'SELECT KELAS GENAP'!C$8:N$181,9,FALSE))</f>
        <v>Rina Septiriana, S.T., M.Cs.</v>
      </c>
      <c r="S26" s="98" t="str">
        <f>IF(F26="","",VLOOKUP(F26,'SELECT KELAS GENAP'!C$8:N$181,11,FALSE))</f>
        <v>Helen Sastypratiwi, S.T., M.Eng / Rina Septiriana, S.T., M.Cs.</v>
      </c>
      <c r="T26" s="52"/>
      <c r="U26" s="206"/>
      <c r="V26" s="206"/>
    </row>
    <row r="27" spans="1:22" s="26" customFormat="1" ht="34.950000000000003" customHeight="1" x14ac:dyDescent="0.3">
      <c r="B27" s="51" t="str">
        <f t="shared" si="2"/>
        <v>Senin</v>
      </c>
      <c r="C27" s="51">
        <v>0.60763888888888895</v>
      </c>
      <c r="D27" s="51" t="str">
        <f t="shared" ref="D27" si="15">IF(C27="","","s/d")</f>
        <v>s/d</v>
      </c>
      <c r="E27" s="51">
        <f t="shared" ref="E27" si="16">IF(O27="","",(IF(O27=4,C27+TIME(0,2*50,0),C27+TIME(0,O27*50,0))))</f>
        <v>0.71180555555555558</v>
      </c>
      <c r="F27" s="101" t="s">
        <v>550</v>
      </c>
      <c r="G27" s="115"/>
      <c r="H27" s="52" t="str">
        <f>IF(F27="","",VLOOKUP(F27,'SELECT KELAS GENAP'!C$8:N$181,2,FALSE))</f>
        <v>INF-55201-210</v>
      </c>
      <c r="I27" s="233" t="str">
        <f>IF(F27="","",VLOOKUP(F27,'SELECT KELAS GENAP'!C$8:N$175,3,FALSE))</f>
        <v>Sistem Paralel dan Terdistribusi</v>
      </c>
      <c r="J27" s="52" t="str">
        <f>IF(F27="","",VLOOKUP(F27,'SELECT KELAS GENAP'!C$8:N$181,12,FALSE))</f>
        <v>HLN</v>
      </c>
      <c r="K27" s="237" t="str">
        <f>IF(F27="","",VLOOKUP(F27,'SELECT KELAS GENAP'!C$8:N$181,8,FALSE))</f>
        <v>HLN</v>
      </c>
      <c r="L27" s="237" t="str">
        <f>IF(F27="","",VLOOKUP(F27,'SELECT KELAS GENAP'!C$8:N$181,10,FALSE))</f>
        <v>-</v>
      </c>
      <c r="M27" s="52" t="str">
        <f>IF(F27="","",VLOOKUP(F27,'SELECT KELAS GENAP'!C$8:N$181,6,FALSE))</f>
        <v>A</v>
      </c>
      <c r="N27" s="52">
        <f>IF(F27="","",VLOOKUP(F27,'SELECT KELAS GENAP'!C$8:N$181,4,FALSE))</f>
        <v>4</v>
      </c>
      <c r="O27" s="52">
        <f>IF(F27="","",VLOOKUP(F27,'SELECT KELAS GENAP'!C$8:N$181,5,FALSE))</f>
        <v>3</v>
      </c>
      <c r="P27" s="52">
        <f>IF(F27="","",VLOOKUP(F27,'SELECT KELAS GENAP'!C$8:W$181,21,FALSE))</f>
        <v>28</v>
      </c>
      <c r="Q27" s="52" t="str">
        <f>IF(F27="","",VLOOKUP(F27,'SELECT KELAS GENAP'!C$8:N$181,7,FALSE))</f>
        <v>Helfi Nasution, S.Kom, M.Cs</v>
      </c>
      <c r="R27" s="52" t="str">
        <f>IF(F27="","",VLOOKUP(F27,'SELECT KELAS GENAP'!C$8:N$181,9,FALSE))</f>
        <v>None</v>
      </c>
      <c r="S27" s="98" t="str">
        <f>IF(F27="","",VLOOKUP(F27,'SELECT KELAS GENAP'!C$8:N$181,11,FALSE))</f>
        <v>Helfi Nasution, S.Kom, M.Cs</v>
      </c>
      <c r="T27" s="52"/>
      <c r="U27" s="206">
        <f t="shared" si="8"/>
        <v>0.60763888888888895</v>
      </c>
      <c r="V27" s="206">
        <f t="shared" si="4"/>
        <v>0.71180555555555558</v>
      </c>
    </row>
    <row r="28" spans="1:22" ht="34.950000000000003" customHeight="1" x14ac:dyDescent="0.3">
      <c r="A28" s="26"/>
      <c r="B28" s="51" t="str">
        <f t="shared" si="2"/>
        <v>Senin</v>
      </c>
      <c r="C28" s="51">
        <v>0.60763888888888895</v>
      </c>
      <c r="D28" s="51" t="str">
        <f t="shared" si="3"/>
        <v>s/d</v>
      </c>
      <c r="E28" s="51">
        <f t="shared" si="9"/>
        <v>0.71180555555555558</v>
      </c>
      <c r="F28" s="101" t="s">
        <v>579</v>
      </c>
      <c r="G28" s="115" t="s">
        <v>394</v>
      </c>
      <c r="H28" s="52" t="str">
        <f>IF(F28="","",VLOOKUP(F28,'SELECT KELAS GENAP'!C$8:N$181,2,FALSE))</f>
        <v>INF-55201-212</v>
      </c>
      <c r="I28" s="233" t="str">
        <f>IF(F28="","",VLOOKUP(F28,'SELECT KELAS GENAP'!C$8:N$175,3,FALSE))</f>
        <v>Analisis  dan  Perancangan  Sistem  </v>
      </c>
      <c r="J28" s="52" t="str">
        <f>IF(F28="","",VLOOKUP(F28,'SELECT KELAS GENAP'!C$8:N$181,12,FALSE))</f>
        <v>EFR / NC</v>
      </c>
      <c r="K28" s="237" t="str">
        <f>IF(F28="","",VLOOKUP(F28,'SELECT KELAS GENAP'!C$8:N$181,8,FALSE))</f>
        <v>EFR</v>
      </c>
      <c r="L28" s="237" t="str">
        <f>IF(F28="","",VLOOKUP(F28,'SELECT KELAS GENAP'!C$8:N$181,10,FALSE))</f>
        <v>NC</v>
      </c>
      <c r="M28" s="52" t="str">
        <f>IF(F28="","",VLOOKUP(F28,'SELECT KELAS GENAP'!C$8:N$181,6,FALSE))</f>
        <v>C</v>
      </c>
      <c r="N28" s="52">
        <f>IF(F28="","",VLOOKUP(F28,'SELECT KELAS GENAP'!C$8:N$181,4,FALSE))</f>
        <v>4</v>
      </c>
      <c r="O28" s="52">
        <f>IF(F28="","",VLOOKUP(F28,'SELECT KELAS GENAP'!C$8:N$181,5,FALSE))</f>
        <v>3</v>
      </c>
      <c r="P28" s="52">
        <f>IF(F28="","",VLOOKUP(F28,'SELECT KELAS GENAP'!C$8:W$181,21,FALSE))</f>
        <v>28</v>
      </c>
      <c r="Q28" s="52" t="str">
        <f>IF(F28="","",VLOOKUP(F28,'SELECT KELAS GENAP'!C$8:N$181,7,FALSE))</f>
        <v>Eva Faja Ripanti, S.Kom, MMSI, Ph.D</v>
      </c>
      <c r="R28" s="52" t="str">
        <f>IF(F28="","",VLOOKUP(F28,'SELECT KELAS GENAP'!C$8:N$181,9,FALSE))</f>
        <v>Niken Candraningrum, S.T., M.Cs.</v>
      </c>
      <c r="S28" s="98" t="str">
        <f>IF(F28="","",VLOOKUP(F28,'SELECT KELAS GENAP'!C$8:N$181,11,FALSE))</f>
        <v>Eva Faja Ripanti, S.Kom, MMSI, Ph.D / Niken Candraningrum, S.T., M.Cs.</v>
      </c>
      <c r="T28" s="52"/>
      <c r="U28" s="206">
        <f t="shared" si="8"/>
        <v>0.60763888888888895</v>
      </c>
      <c r="V28" s="206">
        <f t="shared" si="4"/>
        <v>0.71180555555555558</v>
      </c>
    </row>
    <row r="29" spans="1:22" ht="34.950000000000003" customHeight="1" x14ac:dyDescent="0.3">
      <c r="A29" s="26"/>
      <c r="B29" s="51" t="str">
        <f t="shared" si="2"/>
        <v>Senin</v>
      </c>
      <c r="C29" s="51">
        <v>0.60763888888888895</v>
      </c>
      <c r="D29" s="51" t="str">
        <f t="shared" si="3"/>
        <v>s/d</v>
      </c>
      <c r="E29" s="51">
        <f t="shared" si="9"/>
        <v>0.71180555555555558</v>
      </c>
      <c r="F29" s="101" t="s">
        <v>606</v>
      </c>
      <c r="G29" s="115" t="s">
        <v>394</v>
      </c>
      <c r="H29" s="52" t="str">
        <f>IF(F29="","",VLOOKUP(F29,'SELECT KELAS GENAP'!C$8:N$181,2,FALSE))</f>
        <v xml:space="preserve"> INF-55201-315</v>
      </c>
      <c r="I29" s="233" t="str">
        <f>IF(F29="","",VLOOKUP(F29,'SELECT KELAS GENAP'!C$8:N$175,3,FALSE))</f>
        <v>MK Pilihan Wajib Multimedia &amp; SIG (SIG)</v>
      </c>
      <c r="J29" s="52" t="str">
        <f>IF(F29="","",VLOOKUP(F29,'SELECT KELAS GENAP'!C$8:N$181,12,FALSE))</f>
        <v>YS / AI</v>
      </c>
      <c r="K29" s="237" t="str">
        <f>IF(F29="","",VLOOKUP(F29,'SELECT KELAS GENAP'!C$8:N$181,8,FALSE))</f>
        <v>YS</v>
      </c>
      <c r="L29" s="237" t="str">
        <f>IF(F29="","",VLOOKUP(F29,'SELECT KELAS GENAP'!C$8:N$181,10,FALSE))</f>
        <v>AI</v>
      </c>
      <c r="M29" s="52" t="str">
        <f>IF(F29="","",VLOOKUP(F29,'SELECT KELAS GENAP'!C$8:N$181,6,FALSE))</f>
        <v>A</v>
      </c>
      <c r="N29" s="52">
        <f>IF(F29="","",VLOOKUP(F29,'SELECT KELAS GENAP'!C$8:N$181,4,FALSE))</f>
        <v>6</v>
      </c>
      <c r="O29" s="52">
        <f>IF(F29="","",VLOOKUP(F29,'SELECT KELAS GENAP'!C$8:N$181,5,FALSE))</f>
        <v>3</v>
      </c>
      <c r="P29" s="52">
        <f>IF(F29="","",VLOOKUP(F29,'SELECT KELAS GENAP'!C$8:W$181,21,FALSE))</f>
        <v>28</v>
      </c>
      <c r="Q29" s="52" t="str">
        <f>IF(F29="","",VLOOKUP(F29,'SELECT KELAS GENAP'!C$8:N$181,7,FALSE))</f>
        <v>Dr. Yus Sholva, S.T., M.T.</v>
      </c>
      <c r="R29" s="52" t="str">
        <f>IF(F29="","",VLOOKUP(F29,'SELECT KELAS GENAP'!C$8:N$181,9,FALSE))</f>
        <v>M.Azhar Irwansyah, S.T.,M.Eng.</v>
      </c>
      <c r="S29" s="98" t="str">
        <f>IF(F29="","",VLOOKUP(F29,'SELECT KELAS GENAP'!C$8:N$181,11,FALSE))</f>
        <v>Dr. Yus Sholva, S.T., M.T. / M.Azhar Irwansyah, S.T.,M.Eng.</v>
      </c>
      <c r="T29" s="52"/>
      <c r="U29" s="206">
        <f t="shared" si="8"/>
        <v>0.60763888888888895</v>
      </c>
      <c r="V29" s="206">
        <f t="shared" si="4"/>
        <v>0.71180555555555558</v>
      </c>
    </row>
    <row r="30" spans="1:22" ht="34.950000000000003" customHeight="1" x14ac:dyDescent="0.3">
      <c r="A30" s="26"/>
      <c r="B30" s="51" t="str">
        <f t="shared" si="2"/>
        <v>Senin</v>
      </c>
      <c r="C30" s="51">
        <v>0.60763888888888895</v>
      </c>
      <c r="D30" s="51" t="str">
        <f t="shared" si="3"/>
        <v>s/d</v>
      </c>
      <c r="E30" s="51">
        <f t="shared" si="9"/>
        <v>0.71180555555555558</v>
      </c>
      <c r="F30" s="101" t="s">
        <v>599</v>
      </c>
      <c r="G30" s="115" t="s">
        <v>394</v>
      </c>
      <c r="H30" s="52" t="str">
        <f>IF(F30="","",VLOOKUP(F30,'SELECT KELAS GENAP'!C$8:N$181,2,FALSE))</f>
        <v xml:space="preserve"> INF-55201-314</v>
      </c>
      <c r="I30" s="233" t="str">
        <f>IF(F30="","",VLOOKUP(F30,'SELECT KELAS GENAP'!C$8:N$175,3,FALSE))</f>
        <v>MK Pilihan Wajib  Jaringan (Jaringan  Nirkabel  )</v>
      </c>
      <c r="J30" s="52" t="str">
        <f>IF(F30="","",VLOOKUP(F30,'SELECT KELAS GENAP'!C$8:N$181,12,FALSE))</f>
        <v>HP</v>
      </c>
      <c r="K30" s="237" t="str">
        <f>IF(F30="","",VLOOKUP(F30,'SELECT KELAS GENAP'!C$8:N$181,8,FALSE))</f>
        <v>HP</v>
      </c>
      <c r="L30" s="237" t="str">
        <f>IF(F30="","",VLOOKUP(F30,'SELECT KELAS GENAP'!C$8:N$181,10,FALSE))</f>
        <v>-</v>
      </c>
      <c r="M30" s="52" t="str">
        <f>IF(F30="","",VLOOKUP(F30,'SELECT KELAS GENAP'!C$8:N$181,6,FALSE))</f>
        <v>C</v>
      </c>
      <c r="N30" s="52">
        <f>IF(F30="","",VLOOKUP(F30,'SELECT KELAS GENAP'!C$8:N$181,4,FALSE))</f>
        <v>6</v>
      </c>
      <c r="O30" s="52">
        <f>IF(F30="","",VLOOKUP(F30,'SELECT KELAS GENAP'!C$8:N$181,5,FALSE))</f>
        <v>3</v>
      </c>
      <c r="P30" s="52">
        <f>IF(F30="","",VLOOKUP(F30,'SELECT KELAS GENAP'!C$8:W$181,21,FALSE))</f>
        <v>28</v>
      </c>
      <c r="Q30" s="52" t="str">
        <f>IF(F30="","",VLOOKUP(F30,'SELECT KELAS GENAP'!C$8:N$181,7,FALSE))</f>
        <v>Heri Priyanto,S.T., M.T.</v>
      </c>
      <c r="R30" s="52" t="str">
        <f>IF(F30="","",VLOOKUP(F30,'SELECT KELAS GENAP'!C$8:N$181,9,FALSE))</f>
        <v>None</v>
      </c>
      <c r="S30" s="98" t="str">
        <f>IF(F30="","",VLOOKUP(F30,'SELECT KELAS GENAP'!C$8:N$181,11,FALSE))</f>
        <v>Heri Priyanto,S.T., M.T.</v>
      </c>
      <c r="T30" s="52"/>
      <c r="U30" s="206">
        <f t="shared" si="8"/>
        <v>0.60763888888888895</v>
      </c>
      <c r="V30" s="206">
        <f t="shared" si="4"/>
        <v>0.71180555555555558</v>
      </c>
    </row>
    <row r="31" spans="1:22" ht="34.950000000000003" customHeight="1" x14ac:dyDescent="0.3">
      <c r="A31" s="26"/>
      <c r="B31" s="51" t="str">
        <f t="shared" si="2"/>
        <v/>
      </c>
      <c r="C31" s="51"/>
      <c r="D31" s="51" t="str">
        <f t="shared" ref="D31" si="17">IF(C31="","","s/d")</f>
        <v/>
      </c>
      <c r="E31" s="51" t="str">
        <f t="shared" ref="E31" si="18">IF(O31="","",(IF(O31=4,C31+TIME(0,2*50,0),C31+TIME(0,O31*50,0))))</f>
        <v/>
      </c>
      <c r="F31" s="101"/>
      <c r="G31" s="115" t="s">
        <v>394</v>
      </c>
      <c r="H31" s="52" t="str">
        <f>IF(F31="","",VLOOKUP(F31,'SELECT KELAS GENAP'!C$8:N$181,2,FALSE))</f>
        <v/>
      </c>
      <c r="I31" s="233" t="str">
        <f>IF(F31="","",VLOOKUP(F31,'SELECT KELAS GENAP'!C$8:N$175,3,FALSE))</f>
        <v/>
      </c>
      <c r="J31" s="52" t="str">
        <f>IF(F31="","",VLOOKUP(F31,'SELECT KELAS GENAP'!C$8:N$181,12,FALSE))</f>
        <v/>
      </c>
      <c r="K31" s="237" t="str">
        <f>IF(F31="","",VLOOKUP(F31,'SELECT KELAS GENAP'!C$8:N$181,8,FALSE))</f>
        <v/>
      </c>
      <c r="L31" s="237" t="str">
        <f>IF(F31="","",VLOOKUP(F31,'SELECT KELAS GENAP'!C$8:N$181,10,FALSE))</f>
        <v/>
      </c>
      <c r="M31" s="52" t="str">
        <f>IF(F31="","",VLOOKUP(F31,'SELECT KELAS GENAP'!C$8:N$181,6,FALSE))</f>
        <v/>
      </c>
      <c r="N31" s="52" t="str">
        <f>IF(F31="","",VLOOKUP(F31,'SELECT KELAS GENAP'!C$8:N$181,4,FALSE))</f>
        <v/>
      </c>
      <c r="O31" s="52" t="str">
        <f>IF(F31="","",VLOOKUP(F31,'SELECT KELAS GENAP'!C$8:N$181,5,FALSE))</f>
        <v/>
      </c>
      <c r="P31" s="52" t="str">
        <f>IF(F31="","",VLOOKUP(F31,'SELECT KELAS GENAP'!C$8:W$181,21,FALSE))</f>
        <v/>
      </c>
      <c r="Q31" s="52" t="str">
        <f>IF(F31="","",VLOOKUP(F31,'SELECT KELAS GENAP'!C$8:N$181,7,FALSE))</f>
        <v/>
      </c>
      <c r="R31" s="52" t="str">
        <f>IF(F31="","",VLOOKUP(F31,'SELECT KELAS GENAP'!C$8:N$181,9,FALSE))</f>
        <v/>
      </c>
      <c r="S31" s="98" t="str">
        <f>IF(F31="","",VLOOKUP(F31,'SELECT KELAS GENAP'!C$8:N$181,11,FALSE))</f>
        <v/>
      </c>
      <c r="T31" s="52"/>
      <c r="U31" s="206">
        <f t="shared" si="8"/>
        <v>0</v>
      </c>
      <c r="V31" s="206" t="str">
        <f t="shared" si="4"/>
        <v/>
      </c>
    </row>
    <row r="32" spans="1:22" s="248" customFormat="1" ht="34.799999999999997" customHeight="1" x14ac:dyDescent="0.3">
      <c r="B32" s="251"/>
      <c r="C32" s="241"/>
      <c r="D32" s="241" t="str">
        <f t="shared" si="3"/>
        <v/>
      </c>
      <c r="E32" s="241"/>
      <c r="F32" s="242"/>
      <c r="G32" s="243"/>
      <c r="H32" s="244" t="str">
        <f>IF(F32="","",VLOOKUP(F32,'SELECT KELAS GENAP'!C$8:N$181,2,FALSE))</f>
        <v/>
      </c>
      <c r="I32" s="245" t="str">
        <f>IF(F32="","",VLOOKUP(F32,'SELECT KELAS GENAP'!C$8:N$175,3,FALSE))</f>
        <v/>
      </c>
      <c r="J32" s="244" t="str">
        <f>IF(F32="","",VLOOKUP(F32,'SELECT KELAS GENAP'!C$8:N$181,12,FALSE))</f>
        <v/>
      </c>
      <c r="K32" s="246" t="str">
        <f>IF(F32="","",VLOOKUP(F32,'SELECT KELAS GENAP'!C$8:N$181,8,FALSE))</f>
        <v/>
      </c>
      <c r="L32" s="246" t="str">
        <f>IF(F32="","",VLOOKUP(F32,'SELECT KELAS GENAP'!C$8:N$181,10,FALSE))</f>
        <v/>
      </c>
      <c r="M32" s="244" t="str">
        <f>IF(F32="","",VLOOKUP(F32,'SELECT KELAS GENAP'!C$8:N$181,6,FALSE))</f>
        <v/>
      </c>
      <c r="N32" s="244" t="str">
        <f>IF(F32="","",VLOOKUP(F32,'SELECT KELAS GENAP'!C$8:N$181,4,FALSE))</f>
        <v/>
      </c>
      <c r="O32" s="244" t="str">
        <f>IF(F32="","",VLOOKUP(F32,'SELECT KELAS GENAP'!C$8:N$181,5,FALSE))</f>
        <v/>
      </c>
      <c r="P32" s="244" t="str">
        <f>IF(F32="","",VLOOKUP(F32,'SELECT KELAS GENAP'!C$8:W$181,21,FALSE))</f>
        <v/>
      </c>
      <c r="Q32" s="244" t="str">
        <f>IF(F32="","",VLOOKUP(F32,'SELECT KELAS GENAP'!C$8:N$181,7,FALSE))</f>
        <v/>
      </c>
      <c r="R32" s="244" t="str">
        <f>IF(F32="","",VLOOKUP(F32,'SELECT KELAS GENAP'!C$8:N$181,9,FALSE))</f>
        <v/>
      </c>
      <c r="S32" s="245" t="str">
        <f>IF(F32="","",VLOOKUP(F32,'SELECT KELAS GENAP'!C$8:N$181,11,FALSE))</f>
        <v/>
      </c>
      <c r="T32" s="244"/>
      <c r="U32" s="247">
        <f t="shared" si="8"/>
        <v>0</v>
      </c>
      <c r="V32" s="247">
        <f t="shared" si="4"/>
        <v>0</v>
      </c>
    </row>
    <row r="33" spans="2:22" ht="34.950000000000003" customHeight="1" x14ac:dyDescent="0.3">
      <c r="B33" s="51" t="str">
        <f>IF(C33="","","Selasa")</f>
        <v>Selasa</v>
      </c>
      <c r="C33" s="51">
        <v>1.3125</v>
      </c>
      <c r="D33" s="51" t="str">
        <f t="shared" ref="D33" si="19">IF(C33="","","s/d")</f>
        <v>s/d</v>
      </c>
      <c r="E33" s="51">
        <f t="shared" ref="E33" si="20">IF(O33="","",(IF(O33=4,C33+TIME(0,2*50,0),C33+TIME(0,O33*50,0))))</f>
        <v>1.4166666666666667</v>
      </c>
      <c r="F33" s="101" t="s">
        <v>510</v>
      </c>
      <c r="G33" s="115" t="s">
        <v>394</v>
      </c>
      <c r="H33" s="52" t="str">
        <f>IF(F33="","",VLOOKUP(F33,'SELECT KELAS GENAP'!C$8:N$181,2,FALSE))</f>
        <v>INF-55201-108</v>
      </c>
      <c r="I33" s="240" t="str">
        <f>IF(F33="","",VLOOKUP(F33,'SELECT KELAS GENAP'!C$8:N$175,3,FALSE))</f>
        <v>Dasar rekayasa perangkat lunak</v>
      </c>
      <c r="J33" s="52" t="str">
        <f>IF(F33="","",VLOOKUP(F33,'SELECT KELAS GENAP'!C$8:N$181,12,FALSE))</f>
        <v>AP / DIU</v>
      </c>
      <c r="K33" s="237" t="str">
        <f>IF(F33="","",VLOOKUP(F33,'SELECT KELAS GENAP'!C$8:N$181,8,FALSE))</f>
        <v>AP</v>
      </c>
      <c r="L33" s="237" t="str">
        <f>IF(F33="","",VLOOKUP(F33,'SELECT KELAS GENAP'!C$8:N$181,10,FALSE))</f>
        <v>DIU</v>
      </c>
      <c r="M33" s="52" t="str">
        <f>IF(F33="","",VLOOKUP(F33,'SELECT KELAS GENAP'!C$8:N$181,6,FALSE))</f>
        <v>D</v>
      </c>
      <c r="N33" s="52">
        <f>IF(F33="","",VLOOKUP(F33,'SELECT KELAS GENAP'!C$8:N$181,4,FALSE))</f>
        <v>2</v>
      </c>
      <c r="O33" s="52">
        <f>IF(F33="","",VLOOKUP(F33,'SELECT KELAS GENAP'!C$8:N$181,5,FALSE))</f>
        <v>3</v>
      </c>
      <c r="P33" s="52">
        <f>IF(F33="","",VLOOKUP(F33,'SELECT KELAS GENAP'!C$8:W$181,21,FALSE))</f>
        <v>28</v>
      </c>
      <c r="Q33" s="52" t="str">
        <f>IF(F33="","",VLOOKUP(F33,'SELECT KELAS GENAP'!C$8:N$181,7,FALSE))</f>
        <v>Anggi Perwitasari, S.T., M.T.</v>
      </c>
      <c r="R33" s="52" t="str">
        <f>IF(F33="","",VLOOKUP(F33,'SELECT KELAS GENAP'!C$8:N$181,9,FALSE))</f>
        <v>Desepta Isna Ulumi, S.Kom, M.Kom.</v>
      </c>
      <c r="S33" s="98" t="str">
        <f>IF(F33="","",VLOOKUP(F33,'SELECT KELAS GENAP'!C$8:N$181,11,FALSE))</f>
        <v>Anggi Perwitasari, S.T., M.T. / Desepta Isna Ulumi, S.Kom, M.Kom.</v>
      </c>
      <c r="T33" s="52"/>
      <c r="U33" s="206"/>
      <c r="V33" s="206"/>
    </row>
    <row r="34" spans="2:22" ht="34.950000000000003" customHeight="1" x14ac:dyDescent="0.3">
      <c r="B34" s="51" t="str">
        <f t="shared" ref="B34:B56" si="21">IF(C34="","","Selasa")</f>
        <v>Selasa</v>
      </c>
      <c r="C34" s="51">
        <v>1.3125</v>
      </c>
      <c r="D34" s="51" t="str">
        <f t="shared" si="3"/>
        <v>s/d</v>
      </c>
      <c r="E34" s="51">
        <f t="shared" ref="E34:E51" si="22">IF(O34="","",(IF(O34=4,C34+TIME(0,2*50,0),C34+TIME(0,O34*50,0))))</f>
        <v>1.4166666666666667</v>
      </c>
      <c r="F34" s="101" t="s">
        <v>509</v>
      </c>
      <c r="G34" s="115" t="s">
        <v>394</v>
      </c>
      <c r="H34" s="52" t="str">
        <f>IF(F34="","",VLOOKUP(F34,'SELECT KELAS GENAP'!C$8:N$181,2,FALSE))</f>
        <v>INF-55201-106</v>
      </c>
      <c r="I34" s="240" t="str">
        <f>IF(F34="","",VLOOKUP(F34,'SELECT KELAS GENAP'!C$8:N$175,3,FALSE))</f>
        <v>Matematika  Dasar II</v>
      </c>
      <c r="J34" s="52" t="str">
        <f>IF(F34="","",VLOOKUP(F34,'SELECT KELAS GENAP'!C$8:N$181,12,FALSE))</f>
        <v>AS / RS</v>
      </c>
      <c r="K34" s="237" t="str">
        <f>IF(F34="","",VLOOKUP(F34,'SELECT KELAS GENAP'!C$8:N$181,8,FALSE))</f>
        <v>AS</v>
      </c>
      <c r="L34" s="237" t="str">
        <f>IF(F34="","",VLOOKUP(F34,'SELECT KELAS GENAP'!C$8:N$181,10,FALSE))</f>
        <v>RS</v>
      </c>
      <c r="M34" s="52" t="str">
        <f>IF(F34="","",VLOOKUP(F34,'SELECT KELAS GENAP'!C$8:N$181,6,FALSE))</f>
        <v>C</v>
      </c>
      <c r="N34" s="52">
        <f>IF(F34="","",VLOOKUP(F34,'SELECT KELAS GENAP'!C$8:N$181,4,FALSE))</f>
        <v>2</v>
      </c>
      <c r="O34" s="52">
        <f>IF(F34="","",VLOOKUP(F34,'SELECT KELAS GENAP'!C$8:N$181,5,FALSE))</f>
        <v>3</v>
      </c>
      <c r="P34" s="52">
        <f>IF(F34="","",VLOOKUP(F34,'SELECT KELAS GENAP'!C$8:W$181,21,FALSE))</f>
        <v>28</v>
      </c>
      <c r="Q34" s="52" t="str">
        <f>IF(F34="","",VLOOKUP(F34,'SELECT KELAS GENAP'!C$8:N$181,7,FALSE))</f>
        <v>Anggi Srimurdianti, S.T., M.T.</v>
      </c>
      <c r="R34" s="52" t="str">
        <f>IF(F34="","",VLOOKUP(F34,'SELECT KELAS GENAP'!C$8:N$181,9,FALSE))</f>
        <v>Rina Septiriana, S.T., M.Cs.</v>
      </c>
      <c r="S34" s="98" t="str">
        <f>IF(F34="","",VLOOKUP(F34,'SELECT KELAS GENAP'!C$8:N$181,11,FALSE))</f>
        <v>Anggi Srimurdianti, S.T., M.T. / Rina Septiriana, S.T., M.Cs.</v>
      </c>
      <c r="T34" s="52"/>
      <c r="U34" s="206">
        <f t="shared" si="8"/>
        <v>1.3125</v>
      </c>
      <c r="V34" s="206">
        <f t="shared" si="4"/>
        <v>1.4166666666666667</v>
      </c>
    </row>
    <row r="35" spans="2:22" ht="34.950000000000003" customHeight="1" x14ac:dyDescent="0.3">
      <c r="B35" s="51" t="str">
        <f t="shared" si="21"/>
        <v>Selasa</v>
      </c>
      <c r="C35" s="51">
        <v>1.3125</v>
      </c>
      <c r="D35" s="51" t="str">
        <f t="shared" si="3"/>
        <v>s/d</v>
      </c>
      <c r="E35" s="51">
        <f t="shared" si="22"/>
        <v>1.4166666666666667</v>
      </c>
      <c r="F35" s="101" t="s">
        <v>549</v>
      </c>
      <c r="G35" s="115" t="s">
        <v>394</v>
      </c>
      <c r="H35" s="52" t="str">
        <f>IF(F35="","",VLOOKUP(F35,'SELECT KELAS GENAP'!C$8:N$181,2,FALSE))</f>
        <v>INF-55201-214</v>
      </c>
      <c r="I35" s="240" t="str">
        <f>IF(F35="","",VLOOKUP(F35,'SELECT KELAS GENAP'!C$8:N$175,3,FALSE))</f>
        <v>Sistem Pendukung Keputusan</v>
      </c>
      <c r="J35" s="52" t="str">
        <f>IF(F35="","",VLOOKUP(F35,'SELECT KELAS GENAP'!C$8:N$181,12,FALSE))</f>
        <v>TR</v>
      </c>
      <c r="K35" s="237" t="str">
        <f>IF(F35="","",VLOOKUP(F35,'SELECT KELAS GENAP'!C$8:N$181,8,FALSE))</f>
        <v>TR</v>
      </c>
      <c r="L35" s="237" t="str">
        <f>IF(F35="","",VLOOKUP(F35,'SELECT KELAS GENAP'!C$8:N$181,10,FALSE))</f>
        <v>-</v>
      </c>
      <c r="M35" s="52" t="str">
        <f>IF(F35="","",VLOOKUP(F35,'SELECT KELAS GENAP'!C$8:N$181,6,FALSE))</f>
        <v>B</v>
      </c>
      <c r="N35" s="52">
        <f>IF(F35="","",VLOOKUP(F35,'SELECT KELAS GENAP'!C$8:N$181,4,FALSE))</f>
        <v>4</v>
      </c>
      <c r="O35" s="52">
        <f>IF(F35="","",VLOOKUP(F35,'SELECT KELAS GENAP'!C$8:N$181,5,FALSE))</f>
        <v>3</v>
      </c>
      <c r="P35" s="52">
        <f>IF(F35="","",VLOOKUP(F35,'SELECT KELAS GENAP'!C$8:W$181,21,FALSE))</f>
        <v>28</v>
      </c>
      <c r="Q35" s="52" t="str">
        <f>IF(F35="","",VLOOKUP(F35,'SELECT KELAS GENAP'!C$8:N$181,7,FALSE))</f>
        <v>Tursina ST, M.Cs</v>
      </c>
      <c r="R35" s="52" t="str">
        <f>IF(F35="","",VLOOKUP(F35,'SELECT KELAS GENAP'!C$8:N$181,9,FALSE))</f>
        <v>None</v>
      </c>
      <c r="S35" s="98" t="str">
        <f>IF(F35="","",VLOOKUP(F35,'SELECT KELAS GENAP'!C$8:N$181,11,FALSE))</f>
        <v>Tursina ST, M.Cs</v>
      </c>
      <c r="T35" s="52"/>
      <c r="U35" s="206">
        <f t="shared" si="8"/>
        <v>1.3125</v>
      </c>
      <c r="V35" s="206">
        <f t="shared" si="4"/>
        <v>1.4166666666666667</v>
      </c>
    </row>
    <row r="36" spans="2:22" ht="34.950000000000003" customHeight="1" x14ac:dyDescent="0.3">
      <c r="B36" s="51" t="str">
        <f t="shared" si="21"/>
        <v>Selasa</v>
      </c>
      <c r="C36" s="51">
        <v>1.3125</v>
      </c>
      <c r="D36" s="51" t="str">
        <f t="shared" ref="D36" si="23">IF(C36="","","s/d")</f>
        <v>s/d</v>
      </c>
      <c r="E36" s="51">
        <f t="shared" ref="E36" si="24">IF(O36="","",(IF(O36=4,C36+TIME(0,2*50,0),C36+TIME(0,O36*50,0))))</f>
        <v>1.3819444444444444</v>
      </c>
      <c r="F36" s="101" t="s">
        <v>612</v>
      </c>
      <c r="G36" s="115" t="s">
        <v>394</v>
      </c>
      <c r="H36" s="52" t="str">
        <f>IF(F36="","",VLOOKUP(F36,'SELECT KELAS GENAP'!C$8:N$181,2,FALSE))</f>
        <v>INF-55201-209</v>
      </c>
      <c r="I36" s="240" t="str">
        <f>IF(F36="","",VLOOKUP(F36,'SELECT KELAS GENAP'!C$8:N$175,3,FALSE))</f>
        <v>Otomata</v>
      </c>
      <c r="J36" s="52" t="str">
        <f>IF(F36="","",VLOOKUP(F36,'SELECT KELAS GENAP'!C$8:N$181,12,FALSE))</f>
        <v>NS / KH</v>
      </c>
      <c r="K36" s="237" t="str">
        <f>IF(F36="","",VLOOKUP(F36,'SELECT KELAS GENAP'!C$8:N$181,8,FALSE))</f>
        <v>NS</v>
      </c>
      <c r="L36" s="237" t="str">
        <f>IF(F36="","",VLOOKUP(F36,'SELECT KELAS GENAP'!C$8:N$181,10,FALSE))</f>
        <v>KH</v>
      </c>
      <c r="M36" s="52" t="str">
        <f>IF(F36="","",VLOOKUP(F36,'SELECT KELAS GENAP'!C$8:N$181,6,FALSE))</f>
        <v>A</v>
      </c>
      <c r="N36" s="52">
        <f>IF(F36="","",VLOOKUP(F36,'SELECT KELAS GENAP'!C$8:N$181,4,FALSE))</f>
        <v>4</v>
      </c>
      <c r="O36" s="52">
        <f>IF(F36="","",VLOOKUP(F36,'SELECT KELAS GENAP'!C$8:N$181,5,FALSE))</f>
        <v>2</v>
      </c>
      <c r="P36" s="52">
        <f>IF(F36="","",VLOOKUP(F36,'SELECT KELAS GENAP'!C$8:W$181,21,FALSE))</f>
        <v>28</v>
      </c>
      <c r="Q36" s="52" t="str">
        <f>IF(F36="","",VLOOKUP(F36,'SELECT KELAS GENAP'!C$8:N$181,7,FALSE))</f>
        <v>Novi Safriadi, S.T., M.T.</v>
      </c>
      <c r="R36" s="52" t="str">
        <f>IF(F36="","",VLOOKUP(F36,'SELECT KELAS GENAP'!C$8:N$181,9,FALSE))</f>
        <v>Khairul Hafidh, S.T., M.Kom.</v>
      </c>
      <c r="S36" s="98" t="str">
        <f>IF(F36="","",VLOOKUP(F36,'SELECT KELAS GENAP'!C$8:N$181,11,FALSE))</f>
        <v>Novi Safriadi, S.T., M.T. / Khairul Hafidh, S.T., M.Kom.</v>
      </c>
      <c r="T36" s="52"/>
      <c r="U36" s="206"/>
      <c r="V36" s="206"/>
    </row>
    <row r="37" spans="2:22" ht="34.950000000000003" customHeight="1" x14ac:dyDescent="0.3">
      <c r="B37" s="51" t="str">
        <f t="shared" si="21"/>
        <v>Selasa</v>
      </c>
      <c r="C37" s="51">
        <v>1.3125</v>
      </c>
      <c r="D37" s="51" t="str">
        <f t="shared" si="3"/>
        <v>s/d</v>
      </c>
      <c r="E37" s="51">
        <f t="shared" si="22"/>
        <v>1.4166666666666667</v>
      </c>
      <c r="F37" s="101" t="s">
        <v>607</v>
      </c>
      <c r="G37" s="115" t="s">
        <v>394</v>
      </c>
      <c r="H37" s="52" t="str">
        <f>IF(F37="","",VLOOKUP(F37,'SELECT KELAS GENAP'!C$8:N$181,2,FALSE))</f>
        <v xml:space="preserve"> INF-55201-309</v>
      </c>
      <c r="I37" s="240" t="str">
        <f>IF(F37="","",VLOOKUP(F37,'SELECT KELAS GENAP'!C$8:N$175,3,FALSE))</f>
        <v>Keamanan  Informasi  dan  Jaringan*</v>
      </c>
      <c r="J37" s="52" t="str">
        <f>IF(F37="","",VLOOKUP(F37,'SELECT KELAS GENAP'!C$8:N$181,12,FALSE))</f>
        <v>AI / AAJ</v>
      </c>
      <c r="K37" s="237" t="str">
        <f>IF(F37="","",VLOOKUP(F37,'SELECT KELAS GENAP'!C$8:N$181,8,FALSE))</f>
        <v>AI</v>
      </c>
      <c r="L37" s="237" t="str">
        <f>IF(F37="","",VLOOKUP(F37,'SELECT KELAS GENAP'!C$8:N$181,10,FALSE))</f>
        <v>AAJ</v>
      </c>
      <c r="M37" s="52" t="str">
        <f>IF(F37="","",VLOOKUP(F37,'SELECT KELAS GENAP'!C$8:N$181,6,FALSE))</f>
        <v>C</v>
      </c>
      <c r="N37" s="52">
        <f>IF(F37="","",VLOOKUP(F37,'SELECT KELAS GENAP'!C$8:N$181,4,FALSE))</f>
        <v>6</v>
      </c>
      <c r="O37" s="52">
        <f>IF(F37="","",VLOOKUP(F37,'SELECT KELAS GENAP'!C$8:N$181,5,FALSE))</f>
        <v>3</v>
      </c>
      <c r="P37" s="52">
        <f>IF(F37="","",VLOOKUP(F37,'SELECT KELAS GENAP'!C$8:W$181,21,FALSE))</f>
        <v>28</v>
      </c>
      <c r="Q37" s="52" t="str">
        <f>IF(F37="","",VLOOKUP(F37,'SELECT KELAS GENAP'!C$8:N$181,7,FALSE))</f>
        <v>M.Azhar Irwansyah, S.T.,M.Eng.</v>
      </c>
      <c r="R37" s="52" t="str">
        <f>IF(F37="","",VLOOKUP(F37,'SELECT KELAS GENAP'!C$8:N$181,9,FALSE))</f>
        <v>Alfian Abdul Jalid, S.Kom., M.Cs.</v>
      </c>
      <c r="S37" s="98" t="str">
        <f>IF(F37="","",VLOOKUP(F37,'SELECT KELAS GENAP'!C$8:N$181,11,FALSE))</f>
        <v>M.Azhar Irwansyah, S.T.,M.Eng. / Alfian Abdul Jalid, S.Kom., M.Cs.</v>
      </c>
      <c r="T37" s="52"/>
      <c r="U37" s="206">
        <f t="shared" si="8"/>
        <v>1.3125</v>
      </c>
      <c r="V37" s="206">
        <f t="shared" si="4"/>
        <v>1.4166666666666667</v>
      </c>
    </row>
    <row r="38" spans="2:22" ht="34.950000000000003" customHeight="1" x14ac:dyDescent="0.3">
      <c r="B38" s="51" t="str">
        <f t="shared" si="21"/>
        <v>Selasa</v>
      </c>
      <c r="C38" s="51">
        <v>0.3125</v>
      </c>
      <c r="D38" s="51" t="str">
        <f t="shared" si="3"/>
        <v>s/d</v>
      </c>
      <c r="E38" s="51">
        <f t="shared" si="22"/>
        <v>0.41666666666666669</v>
      </c>
      <c r="F38" s="101" t="s">
        <v>554</v>
      </c>
      <c r="G38" s="115" t="s">
        <v>394</v>
      </c>
      <c r="H38" s="52" t="str">
        <f>IF(F38="","",VLOOKUP(F38,'SELECT KELAS GENAP'!C$8:N$181,2,FALSE))</f>
        <v xml:space="preserve"> INF-55201-313</v>
      </c>
      <c r="I38" s="240" t="str">
        <f>IF(F38="","",VLOOKUP(F38,'SELECT KELAS GENAP'!C$8:N$175,3,FALSE))</f>
        <v>MK Pilihan Wajib Komputasi (PBA)</v>
      </c>
      <c r="J38" s="52" t="str">
        <f>IF(F38="","",VLOOKUP(F38,'SELECT KELAS GENAP'!C$8:N$181,12,FALSE))</f>
        <v>ABP / HS</v>
      </c>
      <c r="K38" s="237" t="str">
        <f>IF(F38="","",VLOOKUP(F38,'SELECT KELAS GENAP'!C$8:N$181,8,FALSE))</f>
        <v>ABP</v>
      </c>
      <c r="L38" s="237" t="str">
        <f>IF(F38="","",VLOOKUP(F38,'SELECT KELAS GENAP'!C$8:N$181,10,FALSE))</f>
        <v>HS</v>
      </c>
      <c r="M38" s="52" t="str">
        <f>IF(F38="","",VLOOKUP(F38,'SELECT KELAS GENAP'!C$8:N$181,6,FALSE))</f>
        <v>D</v>
      </c>
      <c r="N38" s="52">
        <f>IF(F38="","",VLOOKUP(F38,'SELECT KELAS GENAP'!C$8:N$181,4,FALSE))</f>
        <v>6</v>
      </c>
      <c r="O38" s="52">
        <f>IF(F38="","",VLOOKUP(F38,'SELECT KELAS GENAP'!C$8:N$181,5,FALSE))</f>
        <v>3</v>
      </c>
      <c r="P38" s="52">
        <f>IF(F38="","",VLOOKUP(F38,'SELECT KELAS GENAP'!C$8:W$181,21,FALSE))</f>
        <v>28</v>
      </c>
      <c r="Q38" s="52" t="str">
        <f>IF(F38="","",VLOOKUP(F38,'SELECT KELAS GENAP'!C$8:N$181,7,FALSE))</f>
        <v>Dr. Arif BPN, S.T., M.T.</v>
      </c>
      <c r="R38" s="52" t="str">
        <f>IF(F38="","",VLOOKUP(F38,'SELECT KELAS GENAP'!C$8:N$181,9,FALSE))</f>
        <v>Dr. Herry Sujaini, S.T., M.T.</v>
      </c>
      <c r="S38" s="98" t="str">
        <f>IF(F38="","",VLOOKUP(F38,'SELECT KELAS GENAP'!C$8:N$181,11,FALSE))</f>
        <v>Dr. Arif BPN, S.T., M.T. / Dr. Herry Sujaini, S.T., M.T.</v>
      </c>
      <c r="T38" s="52"/>
      <c r="U38" s="206">
        <f t="shared" si="8"/>
        <v>0.3125</v>
      </c>
      <c r="V38" s="206">
        <f t="shared" si="4"/>
        <v>0.41666666666666669</v>
      </c>
    </row>
    <row r="39" spans="2:22" ht="34.950000000000003" customHeight="1" x14ac:dyDescent="0.3">
      <c r="B39" s="51" t="str">
        <f t="shared" si="21"/>
        <v>Selasa</v>
      </c>
      <c r="C39" s="51">
        <v>0.3125</v>
      </c>
      <c r="D39" s="51" t="str">
        <f t="shared" si="3"/>
        <v>s/d</v>
      </c>
      <c r="E39" s="51">
        <f t="shared" si="22"/>
        <v>0.41666666666666669</v>
      </c>
      <c r="F39" s="101" t="s">
        <v>598</v>
      </c>
      <c r="G39" s="115"/>
      <c r="H39" s="52" t="str">
        <f>IF(F39="","",VLOOKUP(F39,'SELECT KELAS GENAP'!C$8:N$181,2,FALSE))</f>
        <v>INF­55201­516</v>
      </c>
      <c r="I39" s="240" t="str">
        <f>IF(F39="","",VLOOKUP(F39,'SELECT KELAS GENAP'!C$8:N$175,3,FALSE))</f>
        <v xml:space="preserve">Data  Mining  </v>
      </c>
      <c r="J39" s="52" t="str">
        <f>IF(F39="","",VLOOKUP(F39,'SELECT KELAS GENAP'!C$8:N$181,12,FALSE))</f>
        <v>EE</v>
      </c>
      <c r="K39" s="237" t="str">
        <f>IF(F39="","",VLOOKUP(F39,'SELECT KELAS GENAP'!C$8:N$181,8,FALSE))</f>
        <v>EE</v>
      </c>
      <c r="L39" s="237" t="str">
        <f>IF(F39="","",VLOOKUP(F39,'SELECT KELAS GENAP'!C$8:N$181,10,FALSE))</f>
        <v>-</v>
      </c>
      <c r="M39" s="52" t="str">
        <f>IF(F39="","",VLOOKUP(F39,'SELECT KELAS GENAP'!C$8:N$181,6,FALSE))</f>
        <v>B</v>
      </c>
      <c r="N39" s="52">
        <f>IF(F39="","",VLOOKUP(F39,'SELECT KELAS GENAP'!C$8:N$181,4,FALSE))</f>
        <v>6</v>
      </c>
      <c r="O39" s="52">
        <f>IF(F39="","",VLOOKUP(F39,'SELECT KELAS GENAP'!C$8:N$181,5,FALSE))</f>
        <v>3</v>
      </c>
      <c r="P39" s="52">
        <f>IF(F39="","",VLOOKUP(F39,'SELECT KELAS GENAP'!C$8:W$181,21,FALSE))</f>
        <v>28</v>
      </c>
      <c r="Q39" s="52" t="str">
        <f>IF(F39="","",VLOOKUP(F39,'SELECT KELAS GENAP'!C$8:N$181,7,FALSE))</f>
        <v>Enda Esyudha Pratama, S.T., M.T.</v>
      </c>
      <c r="R39" s="52" t="str">
        <f>IF(F39="","",VLOOKUP(F39,'SELECT KELAS GENAP'!C$8:N$181,9,FALSE))</f>
        <v>None</v>
      </c>
      <c r="S39" s="98" t="str">
        <f>IF(F39="","",VLOOKUP(F39,'SELECT KELAS GENAP'!C$8:N$181,11,FALSE))</f>
        <v>Enda Esyudha Pratama, S.T., M.T.</v>
      </c>
      <c r="T39" s="52"/>
      <c r="U39" s="206">
        <f t="shared" si="8"/>
        <v>0.3125</v>
      </c>
      <c r="V39" s="206">
        <f t="shared" si="4"/>
        <v>0.41666666666666669</v>
      </c>
    </row>
    <row r="40" spans="2:22" ht="34.950000000000003" customHeight="1" x14ac:dyDescent="0.3">
      <c r="B40" s="51" t="str">
        <f t="shared" si="21"/>
        <v/>
      </c>
      <c r="C40" s="51"/>
      <c r="D40" s="51" t="str">
        <f t="shared" si="3"/>
        <v/>
      </c>
      <c r="E40" s="51" t="str">
        <f t="shared" si="22"/>
        <v/>
      </c>
      <c r="F40" s="101"/>
      <c r="G40" s="115"/>
      <c r="H40" s="52" t="str">
        <f>IF(F40="","",VLOOKUP(F40,'SELECT KELAS GENAP'!C$8:N$181,2,FALSE))</f>
        <v/>
      </c>
      <c r="I40" s="98" t="str">
        <f>IF(F40="","",VLOOKUP(F40,'SELECT KELAS GENAP'!C$8:N$175,3,FALSE))</f>
        <v/>
      </c>
      <c r="J40" s="52" t="str">
        <f>IF(F40="","",VLOOKUP(F40,'SELECT KELAS GENAP'!C$8:N$181,12,FALSE))</f>
        <v/>
      </c>
      <c r="K40" s="237" t="str">
        <f>IF(F40="","",VLOOKUP(F40,'SELECT KELAS GENAP'!C$8:N$181,8,FALSE))</f>
        <v/>
      </c>
      <c r="L40" s="237" t="str">
        <f>IF(F40="","",VLOOKUP(F40,'SELECT KELAS GENAP'!C$8:N$181,10,FALSE))</f>
        <v/>
      </c>
      <c r="M40" s="52" t="str">
        <f>IF(F40="","",VLOOKUP(F40,'SELECT KELAS GENAP'!C$8:N$181,6,FALSE))</f>
        <v/>
      </c>
      <c r="N40" s="52" t="str">
        <f>IF(F40="","",VLOOKUP(F40,'SELECT KELAS GENAP'!C$8:N$181,4,FALSE))</f>
        <v/>
      </c>
      <c r="O40" s="52" t="str">
        <f>IF(F40="","",VLOOKUP(F40,'SELECT KELAS GENAP'!C$8:N$181,5,FALSE))</f>
        <v/>
      </c>
      <c r="P40" s="52" t="str">
        <f>IF(F40="","",VLOOKUP(F40,'SELECT KELAS GENAP'!C$8:W$181,21,FALSE))</f>
        <v/>
      </c>
      <c r="Q40" s="52" t="str">
        <f>IF(F40="","",VLOOKUP(F40,'SELECT KELAS GENAP'!C$8:N$181,7,FALSE))</f>
        <v/>
      </c>
      <c r="R40" s="52" t="str">
        <f>IF(F40="","",VLOOKUP(F40,'SELECT KELAS GENAP'!C$8:N$181,9,FALSE))</f>
        <v/>
      </c>
      <c r="S40" s="98" t="str">
        <f>IF(F40="","",VLOOKUP(F40,'SELECT KELAS GENAP'!C$8:N$181,11,FALSE))</f>
        <v/>
      </c>
      <c r="T40" s="52"/>
      <c r="U40" s="206">
        <f t="shared" si="8"/>
        <v>0</v>
      </c>
      <c r="V40" s="206" t="str">
        <f t="shared" si="4"/>
        <v/>
      </c>
    </row>
    <row r="41" spans="2:22" ht="34.950000000000003" customHeight="1" x14ac:dyDescent="0.3">
      <c r="B41" s="51" t="str">
        <f t="shared" si="21"/>
        <v>Selasa</v>
      </c>
      <c r="C41" s="51">
        <v>0.4236111111111111</v>
      </c>
      <c r="D41" s="51" t="str">
        <f t="shared" si="3"/>
        <v>s/d</v>
      </c>
      <c r="E41" s="51">
        <f t="shared" si="22"/>
        <v>0.49305555555555558</v>
      </c>
      <c r="F41" s="101" t="s">
        <v>547</v>
      </c>
      <c r="G41" s="115" t="s">
        <v>394</v>
      </c>
      <c r="H41" s="52" t="str">
        <f>IF(F41="","",VLOOKUP(F41,'SELECT KELAS GENAP'!C$8:N$181,2,FALSE))</f>
        <v>INF-55201-109</v>
      </c>
      <c r="I41" s="230" t="str">
        <f>IF(F41="","",VLOOKUP(F41,'SELECT KELAS GENAP'!C$8:N$175,3,FALSE))</f>
        <v>Struktur  Data  dan Algoritma*</v>
      </c>
      <c r="J41" s="52" t="str">
        <f>IF(F41="","",VLOOKUP(F41,'SELECT KELAS GENAP'!C$8:N$181,12,FALSE))</f>
        <v>TZ / FA</v>
      </c>
      <c r="K41" s="237" t="str">
        <f>IF(F41="","",VLOOKUP(F41,'SELECT KELAS GENAP'!C$8:N$181,8,FALSE))</f>
        <v>TZ</v>
      </c>
      <c r="L41" s="237" t="str">
        <f>IF(F41="","",VLOOKUP(F41,'SELECT KELAS GENAP'!C$8:N$181,10,FALSE))</f>
        <v>FA</v>
      </c>
      <c r="M41" s="52" t="str">
        <f>IF(F41="","",VLOOKUP(F41,'SELECT KELAS GENAP'!C$8:N$181,6,FALSE))</f>
        <v>C</v>
      </c>
      <c r="N41" s="52">
        <f>IF(F41="","",VLOOKUP(F41,'SELECT KELAS GENAP'!C$8:N$181,4,FALSE))</f>
        <v>2</v>
      </c>
      <c r="O41" s="52">
        <f>IF(F41="","",VLOOKUP(F41,'SELECT KELAS GENAP'!C$8:N$181,5,FALSE))</f>
        <v>4</v>
      </c>
      <c r="P41" s="52">
        <f>IF(F41="","",VLOOKUP(F41,'SELECT KELAS GENAP'!C$8:W$181,21,FALSE))</f>
        <v>35</v>
      </c>
      <c r="Q41" s="52" t="str">
        <f>IF(F41="","",VLOOKUP(F41,'SELECT KELAS GENAP'!C$8:N$181,7,FALSE))</f>
        <v>Morteza Muthahhari, S.Kom., M.T.I</v>
      </c>
      <c r="R41" s="52" t="str">
        <f>IF(F41="","",VLOOKUP(F41,'SELECT KELAS GENAP'!C$8:N$181,9,FALSE))</f>
        <v>Fauzan Asrin, S.Kom, M. Kom.</v>
      </c>
      <c r="S41" s="98" t="str">
        <f>IF(F41="","",VLOOKUP(F41,'SELECT KELAS GENAP'!C$8:N$181,11,FALSE))</f>
        <v>Morteza Muthahhari, S.Kom., M.T.I / Fauzan Asrin, S.Kom, M. Kom.</v>
      </c>
      <c r="T41" s="52"/>
      <c r="U41" s="206">
        <f t="shared" si="8"/>
        <v>0.4236111111111111</v>
      </c>
      <c r="V41" s="206">
        <f t="shared" si="4"/>
        <v>0.49305555555555558</v>
      </c>
    </row>
    <row r="42" spans="2:22" ht="34.950000000000003" customHeight="1" x14ac:dyDescent="0.3">
      <c r="B42" s="51" t="str">
        <f t="shared" si="21"/>
        <v>Selasa</v>
      </c>
      <c r="C42" s="51">
        <v>0.4236111111111111</v>
      </c>
      <c r="D42" s="51" t="str">
        <f t="shared" si="3"/>
        <v>s/d</v>
      </c>
      <c r="E42" s="51">
        <f t="shared" si="22"/>
        <v>0.49305555555555558</v>
      </c>
      <c r="F42" s="101" t="s">
        <v>565</v>
      </c>
      <c r="G42" s="115" t="s">
        <v>394</v>
      </c>
      <c r="H42" s="52" t="str">
        <f>IF(F42="","",VLOOKUP(F42,'SELECT KELAS GENAP'!C$8:N$181,2,FALSE))</f>
        <v>INF-55201-208</v>
      </c>
      <c r="I42" s="230" t="str">
        <f>IF(F42="","",VLOOKUP(F42,'SELECT KELAS GENAP'!C$8:N$175,3,FALSE))</f>
        <v>Manajemen Basis Data*</v>
      </c>
      <c r="J42" s="52" t="str">
        <f>IF(F42="","",VLOOKUP(F42,'SELECT KELAS GENAP'!C$8:N$181,12,FALSE))</f>
        <v>HSP / HN</v>
      </c>
      <c r="K42" s="237" t="str">
        <f>IF(F42="","",VLOOKUP(F42,'SELECT KELAS GENAP'!C$8:N$181,8,FALSE))</f>
        <v>HSP</v>
      </c>
      <c r="L42" s="237" t="str">
        <f>IF(F42="","",VLOOKUP(F42,'SELECT KELAS GENAP'!C$8:N$181,10,FALSE))</f>
        <v>HN</v>
      </c>
      <c r="M42" s="52" t="str">
        <f>IF(F42="","",VLOOKUP(F42,'SELECT KELAS GENAP'!C$8:N$181,6,FALSE))</f>
        <v>A</v>
      </c>
      <c r="N42" s="52">
        <f>IF(F42="","",VLOOKUP(F42,'SELECT KELAS GENAP'!C$8:N$181,4,FALSE))</f>
        <v>4</v>
      </c>
      <c r="O42" s="52">
        <f>IF(F42="","",VLOOKUP(F42,'SELECT KELAS GENAP'!C$8:N$181,5,FALSE))</f>
        <v>4</v>
      </c>
      <c r="P42" s="52">
        <f>IF(F42="","",VLOOKUP(F42,'SELECT KELAS GENAP'!C$8:W$181,21,FALSE))</f>
        <v>35</v>
      </c>
      <c r="Q42" s="52" t="str">
        <f>IF(F42="","",VLOOKUP(F42,'SELECT KELAS GENAP'!C$8:N$181,7,FALSE))</f>
        <v>Helen Sastypratiwi, S.T., M.Eng</v>
      </c>
      <c r="R42" s="52" t="str">
        <f>IF(F42="","",VLOOKUP(F42,'SELECT KELAS GENAP'!C$8:N$181,9,FALSE))</f>
        <v>Haried Novriando, S.Kom, M.Eng</v>
      </c>
      <c r="S42" s="98" t="str">
        <f>IF(F42="","",VLOOKUP(F42,'SELECT KELAS GENAP'!C$8:N$181,11,FALSE))</f>
        <v>Helen Sastypratiwi, S.T., M.Eng / Haried Novriando, S.Kom, M.Eng</v>
      </c>
      <c r="T42" s="52"/>
      <c r="U42" s="206">
        <f t="shared" si="8"/>
        <v>0.4236111111111111</v>
      </c>
      <c r="V42" s="206">
        <f t="shared" si="4"/>
        <v>0.49305555555555558</v>
      </c>
    </row>
    <row r="43" spans="2:22" ht="34.950000000000003" customHeight="1" x14ac:dyDescent="0.3">
      <c r="B43" s="51" t="str">
        <f t="shared" si="21"/>
        <v>Selasa</v>
      </c>
      <c r="C43" s="51">
        <v>0.4236111111111111</v>
      </c>
      <c r="D43" s="51" t="str">
        <f t="shared" si="3"/>
        <v>s/d</v>
      </c>
      <c r="E43" s="51">
        <f t="shared" si="22"/>
        <v>0.49305555555555558</v>
      </c>
      <c r="F43" s="101" t="s">
        <v>616</v>
      </c>
      <c r="G43" s="115" t="s">
        <v>394</v>
      </c>
      <c r="H43" s="52" t="str">
        <f>IF(F43="","",VLOOKUP(F43,'SELECT KELAS GENAP'!C$8:N$181,2,FALSE))</f>
        <v>INF-55201-211</v>
      </c>
      <c r="I43" s="230" t="str">
        <f>IF(F43="","",VLOOKUP(F43,'SELECT KELAS GENAP'!C$8:N$175,3,FALSE))</f>
        <v>Pemrograman  Berorientasi  Objek * </v>
      </c>
      <c r="J43" s="52" t="str">
        <f>IF(F43="","",VLOOKUP(F43,'SELECT KELAS GENAP'!C$8:N$181,12,FALSE))</f>
        <v>NS / KH</v>
      </c>
      <c r="K43" s="237" t="str">
        <f>IF(F43="","",VLOOKUP(F43,'SELECT KELAS GENAP'!C$8:N$181,8,FALSE))</f>
        <v>NS</v>
      </c>
      <c r="L43" s="237" t="str">
        <f>IF(F43="","",VLOOKUP(F43,'SELECT KELAS GENAP'!C$8:N$181,10,FALSE))</f>
        <v>KH</v>
      </c>
      <c r="M43" s="52" t="str">
        <f>IF(F43="","",VLOOKUP(F43,'SELECT KELAS GENAP'!C$8:N$181,6,FALSE))</f>
        <v>C</v>
      </c>
      <c r="N43" s="52">
        <f>IF(F43="","",VLOOKUP(F43,'SELECT KELAS GENAP'!C$8:N$181,4,FALSE))</f>
        <v>4</v>
      </c>
      <c r="O43" s="52">
        <f>IF(F43="","",VLOOKUP(F43,'SELECT KELAS GENAP'!C$8:N$181,5,FALSE))</f>
        <v>4</v>
      </c>
      <c r="P43" s="52">
        <f>IF(F43="","",VLOOKUP(F43,'SELECT KELAS GENAP'!C$8:W$181,21,FALSE))</f>
        <v>35</v>
      </c>
      <c r="Q43" s="52" t="str">
        <f>IF(F43="","",VLOOKUP(F43,'SELECT KELAS GENAP'!C$8:N$181,7,FALSE))</f>
        <v>Novi Safriadi, S.T., M.T.</v>
      </c>
      <c r="R43" s="52" t="str">
        <f>IF(F43="","",VLOOKUP(F43,'SELECT KELAS GENAP'!C$8:N$181,9,FALSE))</f>
        <v>Khairul Hafidh, S.T., M.Kom.</v>
      </c>
      <c r="S43" s="98" t="str">
        <f>IF(F43="","",VLOOKUP(F43,'SELECT KELAS GENAP'!C$8:N$181,11,FALSE))</f>
        <v>Novi Safriadi, S.T., M.T. / Khairul Hafidh, S.T., M.Kom.</v>
      </c>
      <c r="T43" s="52"/>
      <c r="U43" s="206">
        <f t="shared" si="8"/>
        <v>0.4236111111111111</v>
      </c>
      <c r="V43" s="206">
        <f t="shared" si="4"/>
        <v>0.49305555555555558</v>
      </c>
    </row>
    <row r="44" spans="2:22" ht="34.950000000000003" customHeight="1" x14ac:dyDescent="0.3">
      <c r="B44" s="51" t="str">
        <f t="shared" si="21"/>
        <v>Selasa</v>
      </c>
      <c r="C44" s="51">
        <v>0.4236111111111111</v>
      </c>
      <c r="D44" s="51" t="str">
        <f t="shared" ref="D44" si="25">IF(C44="","","s/d")</f>
        <v>s/d</v>
      </c>
      <c r="E44" s="51">
        <f t="shared" ref="E44" si="26">IF(O44="","",(IF(O44=4,C44+TIME(0,2*50,0),C44+TIME(0,O44*50,0))))</f>
        <v>0.49305555555555558</v>
      </c>
      <c r="F44" s="101" t="s">
        <v>583</v>
      </c>
      <c r="G44" s="115"/>
      <c r="H44" s="52" t="str">
        <f>IF(F44="","",VLOOKUP(F44,'SELECT KELAS GENAP'!C$8:N$181,2,FALSE))</f>
        <v xml:space="preserve"> INF-55201-316</v>
      </c>
      <c r="I44" s="230" t="str">
        <f>IF(F44="","",VLOOKUP(F44,'SELECT KELAS GENAP'!C$8:N$175,3,FALSE))</f>
        <v>Proyek Perangkat  Lunak*</v>
      </c>
      <c r="J44" s="52" t="str">
        <f>IF(F44="","",VLOOKUP(F44,'SELECT KELAS GENAP'!C$8:N$181,12,FALSE))</f>
        <v>AP / DIU</v>
      </c>
      <c r="K44" s="237" t="str">
        <f>IF(F44="","",VLOOKUP(F44,'SELECT KELAS GENAP'!C$8:N$181,8,FALSE))</f>
        <v>AP</v>
      </c>
      <c r="L44" s="237" t="str">
        <f>IF(F44="","",VLOOKUP(F44,'SELECT KELAS GENAP'!C$8:N$181,10,FALSE))</f>
        <v>DIU</v>
      </c>
      <c r="M44" s="52" t="str">
        <f>IF(F44="","",VLOOKUP(F44,'SELECT KELAS GENAP'!C$8:N$181,6,FALSE))</f>
        <v>A</v>
      </c>
      <c r="N44" s="52">
        <f>IF(F44="","",VLOOKUP(F44,'SELECT KELAS GENAP'!C$8:N$181,4,FALSE))</f>
        <v>6</v>
      </c>
      <c r="O44" s="52">
        <f>IF(F44="","",VLOOKUP(F44,'SELECT KELAS GENAP'!C$8:N$181,5,FALSE))</f>
        <v>4</v>
      </c>
      <c r="P44" s="52">
        <f>IF(F44="","",VLOOKUP(F44,'SELECT KELAS GENAP'!C$8:W$181,21,FALSE))</f>
        <v>35</v>
      </c>
      <c r="Q44" s="52" t="str">
        <f>IF(F44="","",VLOOKUP(F44,'SELECT KELAS GENAP'!C$8:N$181,7,FALSE))</f>
        <v>Anggi Perwitasari, S.T., M.T.</v>
      </c>
      <c r="R44" s="52" t="str">
        <f>IF(F44="","",VLOOKUP(F44,'SELECT KELAS GENAP'!C$8:N$181,9,FALSE))</f>
        <v>Desepta Isna Ulumi, S.Kom, M.Kom.</v>
      </c>
      <c r="S44" s="98" t="str">
        <f>IF(F44="","",VLOOKUP(F44,'SELECT KELAS GENAP'!C$8:N$181,11,FALSE))</f>
        <v>Anggi Perwitasari, S.T., M.T. / Desepta Isna Ulumi, S.Kom, M.Kom.</v>
      </c>
      <c r="T44" s="52"/>
      <c r="U44" s="206"/>
      <c r="V44" s="206"/>
    </row>
    <row r="45" spans="2:22" ht="34.950000000000003" customHeight="1" x14ac:dyDescent="0.3">
      <c r="B45" s="51" t="str">
        <f t="shared" si="21"/>
        <v/>
      </c>
      <c r="C45" s="51"/>
      <c r="D45" s="51" t="str">
        <f t="shared" si="3"/>
        <v/>
      </c>
      <c r="E45" s="51" t="str">
        <f t="shared" si="22"/>
        <v/>
      </c>
      <c r="F45" s="101"/>
      <c r="G45" s="115" t="s">
        <v>394</v>
      </c>
      <c r="H45" s="52" t="str">
        <f>IF(F45="","",VLOOKUP(F45,'SELECT KELAS GENAP'!C$8:N$181,2,FALSE))</f>
        <v/>
      </c>
      <c r="I45" s="98" t="str">
        <f>IF(F45="","",VLOOKUP(F45,'SELECT KELAS GENAP'!C$8:N$175,3,FALSE))</f>
        <v/>
      </c>
      <c r="J45" s="52" t="str">
        <f>IF(F45="","",VLOOKUP(F45,'SELECT KELAS GENAP'!C$8:N$181,12,FALSE))</f>
        <v/>
      </c>
      <c r="K45" s="237" t="str">
        <f>IF(F45="","",VLOOKUP(F45,'SELECT KELAS GENAP'!C$8:N$181,8,FALSE))</f>
        <v/>
      </c>
      <c r="L45" s="237" t="str">
        <f>IF(F45="","",VLOOKUP(F45,'SELECT KELAS GENAP'!C$8:N$181,10,FALSE))</f>
        <v/>
      </c>
      <c r="M45" s="52" t="str">
        <f>IF(F45="","",VLOOKUP(F45,'SELECT KELAS GENAP'!C$8:N$181,6,FALSE))</f>
        <v/>
      </c>
      <c r="N45" s="52" t="str">
        <f>IF(F45="","",VLOOKUP(F45,'SELECT KELAS GENAP'!C$8:N$181,4,FALSE))</f>
        <v/>
      </c>
      <c r="O45" s="52" t="str">
        <f>IF(F45="","",VLOOKUP(F45,'SELECT KELAS GENAP'!C$8:N$181,5,FALSE))</f>
        <v/>
      </c>
      <c r="P45" s="52" t="str">
        <f>IF(F45="","",VLOOKUP(F45,'SELECT KELAS GENAP'!C$8:W$181,21,FALSE))</f>
        <v/>
      </c>
      <c r="Q45" s="52" t="str">
        <f>IF(F45="","",VLOOKUP(F45,'SELECT KELAS GENAP'!C$8:N$181,7,FALSE))</f>
        <v/>
      </c>
      <c r="R45" s="52" t="str">
        <f>IF(F45="","",VLOOKUP(F45,'SELECT KELAS GENAP'!C$8:N$181,9,FALSE))</f>
        <v/>
      </c>
      <c r="S45" s="98" t="str">
        <f>IF(F45="","",VLOOKUP(F45,'SELECT KELAS GENAP'!C$8:N$181,11,FALSE))</f>
        <v/>
      </c>
      <c r="T45" s="52"/>
      <c r="U45" s="206">
        <f t="shared" si="8"/>
        <v>0</v>
      </c>
      <c r="V45" s="206" t="str">
        <f t="shared" si="4"/>
        <v/>
      </c>
    </row>
    <row r="46" spans="2:22" ht="34.950000000000003" customHeight="1" x14ac:dyDescent="0.3">
      <c r="B46" s="51" t="str">
        <f t="shared" si="21"/>
        <v/>
      </c>
      <c r="C46" s="51"/>
      <c r="D46" s="51"/>
      <c r="E46" s="51"/>
      <c r="F46" s="101"/>
      <c r="G46" s="115"/>
      <c r="H46" s="52"/>
      <c r="I46" s="98" t="str">
        <f>IF(F46="","",VLOOKUP(F46,'SELECT KELAS GENAP'!C$8:N$175,3,FALSE))</f>
        <v/>
      </c>
      <c r="J46" s="52"/>
      <c r="K46" s="237"/>
      <c r="L46" s="237"/>
      <c r="M46" s="52"/>
      <c r="N46" s="52"/>
      <c r="O46" s="52"/>
      <c r="P46" s="52"/>
      <c r="Q46" s="52" t="str">
        <f>IF(F46="","",VLOOKUP(F46,'SELECT KELAS GENAP'!C$8:N$181,7,FALSE))</f>
        <v/>
      </c>
      <c r="R46" s="52" t="str">
        <f>IF(F46="","",VLOOKUP(F46,'SELECT KELAS GENAP'!C$8:N$181,9,FALSE))</f>
        <v/>
      </c>
      <c r="S46" s="98"/>
      <c r="T46" s="52"/>
      <c r="U46" s="206"/>
      <c r="V46" s="206"/>
    </row>
    <row r="47" spans="2:22" ht="34.950000000000003" customHeight="1" x14ac:dyDescent="0.3">
      <c r="B47" s="51" t="str">
        <f t="shared" si="21"/>
        <v>Selasa</v>
      </c>
      <c r="C47" s="51">
        <v>0.53125</v>
      </c>
      <c r="D47" s="51" t="str">
        <f t="shared" ref="D47" si="27">IF(C47="","","s/d")</f>
        <v>s/d</v>
      </c>
      <c r="E47" s="51">
        <f t="shared" ref="E47" si="28">IF(O47="","",(IF(O47=4,C47+TIME(0,2*50,0),C47+TIME(0,O47*50,0))))</f>
        <v>0.60069444444444442</v>
      </c>
      <c r="F47" s="101" t="s">
        <v>529</v>
      </c>
      <c r="G47" s="115" t="s">
        <v>394</v>
      </c>
      <c r="H47" s="52" t="str">
        <f>IF(F47="","",VLOOKUP(F47,'SELECT KELAS GENAP'!C$8:N$181,2,FALSE))</f>
        <v>INF-55201-109</v>
      </c>
      <c r="I47" s="98" t="str">
        <f>IF(F47="","",VLOOKUP(F47,'SELECT KELAS GENAP'!C$8:N$175,3,FALSE))</f>
        <v>Struktur  Data  dan Algoritma*</v>
      </c>
      <c r="J47" s="52" t="str">
        <f>IF(F47="","",VLOOKUP(F47,'SELECT KELAS GENAP'!C$8:N$181,12,FALSE))</f>
        <v>TZ / FA</v>
      </c>
      <c r="K47" s="237" t="str">
        <f>IF(F47="","",VLOOKUP(F47,'SELECT KELAS GENAP'!C$8:N$181,8,FALSE))</f>
        <v>TZ</v>
      </c>
      <c r="L47" s="237" t="str">
        <f>IF(F47="","",VLOOKUP(F47,'SELECT KELAS GENAP'!C$8:N$181,10,FALSE))</f>
        <v>FA</v>
      </c>
      <c r="M47" s="52" t="str">
        <f>IF(F47="","",VLOOKUP(F47,'SELECT KELAS GENAP'!C$8:N$181,6,FALSE))</f>
        <v>B</v>
      </c>
      <c r="N47" s="52">
        <f>IF(F47="","",VLOOKUP(F47,'SELECT KELAS GENAP'!C$8:N$181,4,FALSE))</f>
        <v>2</v>
      </c>
      <c r="O47" s="52">
        <f>IF(F47="","",VLOOKUP(F47,'SELECT KELAS GENAP'!C$8:N$181,5,FALSE))</f>
        <v>4</v>
      </c>
      <c r="P47" s="52">
        <f>IF(F47="","",VLOOKUP(F47,'SELECT KELAS GENAP'!C$8:W$181,21,FALSE))</f>
        <v>35</v>
      </c>
      <c r="Q47" s="52" t="str">
        <f>IF(F47="","",VLOOKUP(F47,'SELECT KELAS GENAP'!C$8:N$181,7,FALSE))</f>
        <v>Morteza Muthahhari, S.Kom., M.T.I</v>
      </c>
      <c r="R47" s="52" t="str">
        <f>IF(F47="","",VLOOKUP(F47,'SELECT KELAS GENAP'!C$8:N$181,9,FALSE))</f>
        <v>Fauzan Asrin, S.Kom, M. Kom.</v>
      </c>
      <c r="S47" s="98" t="str">
        <f>IF(F47="","",VLOOKUP(F47,'SELECT KELAS GENAP'!C$8:N$181,11,FALSE))</f>
        <v>Morteza Muthahhari, S.Kom., M.T.I / Fauzan Asrin, S.Kom, M. Kom.</v>
      </c>
      <c r="T47" s="52"/>
      <c r="U47" s="206">
        <f t="shared" si="8"/>
        <v>0.53125</v>
      </c>
      <c r="V47" s="206">
        <f t="shared" si="4"/>
        <v>0.60069444444444442</v>
      </c>
    </row>
    <row r="48" spans="2:22" ht="34.950000000000003" customHeight="1" x14ac:dyDescent="0.3">
      <c r="B48" s="51" t="str">
        <f t="shared" si="21"/>
        <v>Selasa</v>
      </c>
      <c r="C48" s="51">
        <v>0.53125</v>
      </c>
      <c r="D48" s="51" t="str">
        <f t="shared" ref="D48" si="29">IF(C48="","","s/d")</f>
        <v>s/d</v>
      </c>
      <c r="E48" s="51">
        <f t="shared" ref="E48" si="30">IF(O48="","",(IF(O48=4,C48+TIME(0,2*50,0),C48+TIME(0,O48*50,0))))</f>
        <v>0.60069444444444442</v>
      </c>
      <c r="F48" s="101" t="s">
        <v>564</v>
      </c>
      <c r="G48" s="115"/>
      <c r="H48" s="52" t="str">
        <f>IF(F48="","",VLOOKUP(F48,'SELECT KELAS GENAP'!C$8:N$181,2,FALSE))</f>
        <v>INF-55201-208</v>
      </c>
      <c r="I48" s="98" t="str">
        <f>IF(F48="","",VLOOKUP(F48,'SELECT KELAS GENAP'!C$8:N$175,3,FALSE))</f>
        <v>Manajemen Basis Data*</v>
      </c>
      <c r="J48" s="52" t="str">
        <f>IF(F48="","",VLOOKUP(F48,'SELECT KELAS GENAP'!C$8:N$181,12,FALSE))</f>
        <v>HSP / HN</v>
      </c>
      <c r="K48" s="237" t="str">
        <f>IF(F48="","",VLOOKUP(F48,'SELECT KELAS GENAP'!C$8:N$181,8,FALSE))</f>
        <v>HSP</v>
      </c>
      <c r="L48" s="237" t="str">
        <f>IF(F48="","",VLOOKUP(F48,'SELECT KELAS GENAP'!C$8:N$181,10,FALSE))</f>
        <v>HN</v>
      </c>
      <c r="M48" s="52" t="str">
        <f>IF(F48="","",VLOOKUP(F48,'SELECT KELAS GENAP'!C$8:N$181,6,FALSE))</f>
        <v>C</v>
      </c>
      <c r="N48" s="52">
        <f>IF(F48="","",VLOOKUP(F48,'SELECT KELAS GENAP'!C$8:N$181,4,FALSE))</f>
        <v>4</v>
      </c>
      <c r="O48" s="52">
        <f>IF(F48="","",VLOOKUP(F48,'SELECT KELAS GENAP'!C$8:N$181,5,FALSE))</f>
        <v>4</v>
      </c>
      <c r="P48" s="52">
        <f>IF(F48="","",VLOOKUP(F48,'SELECT KELAS GENAP'!C$8:W$181,21,FALSE))</f>
        <v>35</v>
      </c>
      <c r="Q48" s="52" t="str">
        <f>IF(F48="","",VLOOKUP(F48,'SELECT KELAS GENAP'!C$8:N$181,7,FALSE))</f>
        <v>Helen Sastypratiwi, S.T., M.Eng</v>
      </c>
      <c r="R48" s="52" t="str">
        <f>IF(F48="","",VLOOKUP(F48,'SELECT KELAS GENAP'!C$8:N$181,9,FALSE))</f>
        <v>Haried Novriando, S.Kom, M.Eng</v>
      </c>
      <c r="S48" s="98" t="str">
        <f>IF(F48="","",VLOOKUP(F48,'SELECT KELAS GENAP'!C$8:N$181,11,FALSE))</f>
        <v>Helen Sastypratiwi, S.T., M.Eng / Haried Novriando, S.Kom, M.Eng</v>
      </c>
      <c r="T48" s="52"/>
      <c r="U48" s="206"/>
      <c r="V48" s="206"/>
    </row>
    <row r="49" spans="2:22" ht="34.950000000000003" customHeight="1" x14ac:dyDescent="0.3">
      <c r="B49" s="51" t="str">
        <f t="shared" si="21"/>
        <v>Selasa</v>
      </c>
      <c r="C49" s="51">
        <v>0.53125</v>
      </c>
      <c r="D49" s="51" t="str">
        <f t="shared" si="3"/>
        <v>s/d</v>
      </c>
      <c r="E49" s="51">
        <f t="shared" si="22"/>
        <v>0.60069444444444442</v>
      </c>
      <c r="F49" s="101" t="s">
        <v>615</v>
      </c>
      <c r="G49" s="115" t="s">
        <v>394</v>
      </c>
      <c r="H49" s="52" t="str">
        <f>IF(F49="","",VLOOKUP(F49,'SELECT KELAS GENAP'!C$8:N$181,2,FALSE))</f>
        <v>INF-55201-211</v>
      </c>
      <c r="I49" s="98" t="str">
        <f>IF(F49="","",VLOOKUP(F49,'SELECT KELAS GENAP'!C$8:N$175,3,FALSE))</f>
        <v>Pemrograman  Berorientasi  Objek * </v>
      </c>
      <c r="J49" s="52" t="str">
        <f>IF(F49="","",VLOOKUP(F49,'SELECT KELAS GENAP'!C$8:N$181,12,FALSE))</f>
        <v>RDN</v>
      </c>
      <c r="K49" s="237" t="str">
        <f>IF(F49="","",VLOOKUP(F49,'SELECT KELAS GENAP'!C$8:N$181,8,FALSE))</f>
        <v>RDN</v>
      </c>
      <c r="L49" s="237" t="str">
        <f>IF(F49="","",VLOOKUP(F49,'SELECT KELAS GENAP'!C$8:N$181,10,FALSE))</f>
        <v>-</v>
      </c>
      <c r="M49" s="52" t="str">
        <f>IF(F49="","",VLOOKUP(F49,'SELECT KELAS GENAP'!C$8:N$181,6,FALSE))</f>
        <v>B</v>
      </c>
      <c r="N49" s="52">
        <f>IF(F49="","",VLOOKUP(F49,'SELECT KELAS GENAP'!C$8:N$181,4,FALSE))</f>
        <v>4</v>
      </c>
      <c r="O49" s="52">
        <f>IF(F49="","",VLOOKUP(F49,'SELECT KELAS GENAP'!C$8:N$181,5,FALSE))</f>
        <v>4</v>
      </c>
      <c r="P49" s="52">
        <f>IF(F49="","",VLOOKUP(F49,'SELECT KELAS GENAP'!C$8:W$181,21,FALSE))</f>
        <v>35</v>
      </c>
      <c r="Q49" s="52" t="str">
        <f>IF(F49="","",VLOOKUP(F49,'SELECT KELAS GENAP'!C$8:N$181,7,FALSE))</f>
        <v>Rudy Dwi Nyoto, S.T., M.Eng</v>
      </c>
      <c r="R49" s="52" t="str">
        <f>IF(F49="","",VLOOKUP(F49,'SELECT KELAS GENAP'!C$8:N$181,9,FALSE))</f>
        <v>None</v>
      </c>
      <c r="S49" s="98" t="str">
        <f>IF(F49="","",VLOOKUP(F49,'SELECT KELAS GENAP'!C$8:N$181,11,FALSE))</f>
        <v>Rudy Dwi Nyoto, S.T., M.Eng</v>
      </c>
      <c r="T49" s="52"/>
      <c r="U49" s="206">
        <f t="shared" si="8"/>
        <v>0.53125</v>
      </c>
      <c r="V49" s="206">
        <f t="shared" si="4"/>
        <v>0.60069444444444442</v>
      </c>
    </row>
    <row r="50" spans="2:22" ht="34.950000000000003" customHeight="1" x14ac:dyDescent="0.3">
      <c r="B50" s="51" t="str">
        <f t="shared" si="21"/>
        <v>Selasa</v>
      </c>
      <c r="C50" s="51">
        <v>0.53125</v>
      </c>
      <c r="D50" s="51" t="str">
        <f t="shared" si="3"/>
        <v>s/d</v>
      </c>
      <c r="E50" s="51">
        <f t="shared" si="22"/>
        <v>0.60069444444444442</v>
      </c>
      <c r="F50" s="101" t="s">
        <v>608</v>
      </c>
      <c r="G50" s="115" t="s">
        <v>394</v>
      </c>
      <c r="H50" s="52" t="str">
        <f>IF(F50="","",VLOOKUP(F50,'SELECT KELAS GENAP'!C$8:N$181,2,FALSE))</f>
        <v xml:space="preserve"> INF-55201-316</v>
      </c>
      <c r="I50" s="98" t="str">
        <f>IF(F50="","",VLOOKUP(F50,'SELECT KELAS GENAP'!C$8:N$175,3,FALSE))</f>
        <v>Proyek Perangkat  Lunak*</v>
      </c>
      <c r="J50" s="52" t="str">
        <f>IF(F50="","",VLOOKUP(F50,'SELECT KELAS GENAP'!C$8:N$181,12,FALSE))</f>
        <v>NS</v>
      </c>
      <c r="K50" s="237" t="str">
        <f>IF(F50="","",VLOOKUP(F50,'SELECT KELAS GENAP'!C$8:N$181,8,FALSE))</f>
        <v>NS</v>
      </c>
      <c r="L50" s="237" t="str">
        <f>IF(F50="","",VLOOKUP(F50,'SELECT KELAS GENAP'!C$8:N$181,10,FALSE))</f>
        <v>-</v>
      </c>
      <c r="M50" s="52" t="str">
        <f>IF(F50="","",VLOOKUP(F50,'SELECT KELAS GENAP'!C$8:N$181,6,FALSE))</f>
        <v>C</v>
      </c>
      <c r="N50" s="52">
        <f>IF(F50="","",VLOOKUP(F50,'SELECT KELAS GENAP'!C$8:N$181,4,FALSE))</f>
        <v>6</v>
      </c>
      <c r="O50" s="52">
        <f>IF(F50="","",VLOOKUP(F50,'SELECT KELAS GENAP'!C$8:N$181,5,FALSE))</f>
        <v>4</v>
      </c>
      <c r="P50" s="52">
        <f>IF(F50="","",VLOOKUP(F50,'SELECT KELAS GENAP'!C$8:W$181,21,FALSE))</f>
        <v>35</v>
      </c>
      <c r="Q50" s="52" t="str">
        <f>IF(F50="","",VLOOKUP(F50,'SELECT KELAS GENAP'!C$8:N$181,7,FALSE))</f>
        <v>Novi Safriadi, S.T., M.T.</v>
      </c>
      <c r="R50" s="52" t="str">
        <f>IF(F50="","",VLOOKUP(F50,'SELECT KELAS GENAP'!C$8:N$181,9,FALSE))</f>
        <v>None</v>
      </c>
      <c r="S50" s="98" t="str">
        <f>IF(F50="","",VLOOKUP(F50,'SELECT KELAS GENAP'!C$8:N$181,11,FALSE))</f>
        <v>Novi Safriadi, S.T., M.T.</v>
      </c>
      <c r="T50" s="52"/>
      <c r="U50" s="206">
        <f t="shared" si="8"/>
        <v>0.53125</v>
      </c>
      <c r="V50" s="206">
        <f t="shared" si="4"/>
        <v>0.60069444444444442</v>
      </c>
    </row>
    <row r="51" spans="2:22" ht="34.950000000000003" customHeight="1" x14ac:dyDescent="0.3">
      <c r="B51" s="51" t="str">
        <f t="shared" si="21"/>
        <v/>
      </c>
      <c r="C51" s="51"/>
      <c r="D51" s="51" t="str">
        <f t="shared" si="3"/>
        <v/>
      </c>
      <c r="E51" s="51" t="str">
        <f t="shared" si="22"/>
        <v/>
      </c>
      <c r="F51" s="101"/>
      <c r="G51" s="115" t="s">
        <v>394</v>
      </c>
      <c r="H51" s="52" t="str">
        <f>IF(F51="","",VLOOKUP(F51,'SELECT KELAS GENAP'!C$8:N$181,2,FALSE))</f>
        <v/>
      </c>
      <c r="I51" s="98" t="str">
        <f>IF(F51="","",VLOOKUP(F51,'SELECT KELAS GENAP'!C$8:N$175,3,FALSE))</f>
        <v/>
      </c>
      <c r="J51" s="52" t="str">
        <f>IF(F51="","",VLOOKUP(F51,'SELECT KELAS GENAP'!C$8:N$181,12,FALSE))</f>
        <v/>
      </c>
      <c r="K51" s="237" t="str">
        <f>IF(F51="","",VLOOKUP(F51,'SELECT KELAS GENAP'!C$8:N$181,8,FALSE))</f>
        <v/>
      </c>
      <c r="L51" s="237" t="str">
        <f>IF(F51="","",VLOOKUP(F51,'SELECT KELAS GENAP'!C$8:N$181,10,FALSE))</f>
        <v/>
      </c>
      <c r="M51" s="52" t="str">
        <f>IF(F51="","",VLOOKUP(F51,'SELECT KELAS GENAP'!C$8:N$181,6,FALSE))</f>
        <v/>
      </c>
      <c r="N51" s="52" t="str">
        <f>IF(F51="","",VLOOKUP(F51,'SELECT KELAS GENAP'!C$8:N$181,4,FALSE))</f>
        <v/>
      </c>
      <c r="O51" s="52" t="str">
        <f>IF(F51="","",VLOOKUP(F51,'SELECT KELAS GENAP'!C$8:N$181,5,FALSE))</f>
        <v/>
      </c>
      <c r="P51" s="52" t="str">
        <f>IF(F51="","",VLOOKUP(F51,'SELECT KELAS GENAP'!C$8:W$181,21,FALSE))</f>
        <v/>
      </c>
      <c r="Q51" s="52" t="str">
        <f>IF(F51="","",VLOOKUP(F51,'SELECT KELAS GENAP'!C$8:N$181,7,FALSE))</f>
        <v/>
      </c>
      <c r="R51" s="52" t="str">
        <f>IF(F51="","",VLOOKUP(F51,'SELECT KELAS GENAP'!C$8:N$181,9,FALSE))</f>
        <v/>
      </c>
      <c r="S51" s="98" t="str">
        <f>IF(F51="","",VLOOKUP(F51,'SELECT KELAS GENAP'!C$8:N$181,11,FALSE))</f>
        <v/>
      </c>
      <c r="T51" s="52"/>
      <c r="U51" s="206">
        <f t="shared" si="8"/>
        <v>0</v>
      </c>
      <c r="V51" s="206" t="str">
        <f t="shared" si="4"/>
        <v/>
      </c>
    </row>
    <row r="52" spans="2:22" ht="34.950000000000003" customHeight="1" x14ac:dyDescent="0.3">
      <c r="B52" s="51" t="str">
        <f t="shared" si="21"/>
        <v>Selasa</v>
      </c>
      <c r="C52" s="51">
        <v>0.60763888888888895</v>
      </c>
      <c r="D52" s="51" t="str">
        <f t="shared" si="3"/>
        <v>s/d</v>
      </c>
      <c r="E52" s="51">
        <f t="shared" ref="E52:E56" si="31">IF(O52="","",(IF(O52=4,C52+TIME(0,2*50,0),C52+TIME(0,O52*50,0))))</f>
        <v>0.67708333333333337</v>
      </c>
      <c r="F52" s="101" t="s">
        <v>527</v>
      </c>
      <c r="G52" s="115" t="s">
        <v>394</v>
      </c>
      <c r="H52" s="52" t="str">
        <f>IF(F52="","",VLOOKUP(F52,'SELECT KELAS GENAP'!C$8:N$181,2,FALSE))</f>
        <v>UMG-55201-102</v>
      </c>
      <c r="I52" s="98" t="str">
        <f>IF(F52="","",VLOOKUP(F52,'SELECT KELAS GENAP'!C$8:N$175,3,FALSE))</f>
        <v>Bahasa Indonesia</v>
      </c>
      <c r="J52" s="52" t="str">
        <f>IF(F52="","",VLOOKUP(F52,'SELECT KELAS GENAP'!C$8:N$181,12,FALSE))</f>
        <v>MKU</v>
      </c>
      <c r="K52" s="237" t="str">
        <f>IF(F52="","",VLOOKUP(F52,'SELECT KELAS GENAP'!C$8:N$181,8,FALSE))</f>
        <v>MKU</v>
      </c>
      <c r="L52" s="237" t="str">
        <f>IF(F52="","",VLOOKUP(F52,'SELECT KELAS GENAP'!C$8:N$181,10,FALSE))</f>
        <v>-</v>
      </c>
      <c r="M52" s="52" t="str">
        <f>IF(F52="","",VLOOKUP(F52,'SELECT KELAS GENAP'!C$8:N$181,6,FALSE))</f>
        <v>B</v>
      </c>
      <c r="N52" s="52">
        <f>IF(F52="","",VLOOKUP(F52,'SELECT KELAS GENAP'!C$8:N$181,4,FALSE))</f>
        <v>2</v>
      </c>
      <c r="O52" s="52">
        <f>IF(F52="","",VLOOKUP(F52,'SELECT KELAS GENAP'!C$8:N$181,5,FALSE))</f>
        <v>2</v>
      </c>
      <c r="P52" s="52">
        <f>IF(F52="","",VLOOKUP(F52,'SELECT KELAS GENAP'!C$8:W$181,21,FALSE))</f>
        <v>28</v>
      </c>
      <c r="Q52" s="52" t="str">
        <f>IF(F52="","",VLOOKUP(F52,'SELECT KELAS GENAP'!C$8:N$181,7,FALSE))</f>
        <v>MKU</v>
      </c>
      <c r="R52" s="52" t="str">
        <f>IF(F52="","",VLOOKUP(F52,'SELECT KELAS GENAP'!C$8:N$181,9,FALSE))</f>
        <v>None</v>
      </c>
      <c r="S52" s="98" t="str">
        <f>IF(F52="","",VLOOKUP(F52,'SELECT KELAS GENAP'!C$8:N$181,11,FALSE))</f>
        <v>MKU</v>
      </c>
      <c r="T52" s="52"/>
      <c r="U52" s="206">
        <f t="shared" si="8"/>
        <v>0.60763888888888895</v>
      </c>
      <c r="V52" s="206">
        <f t="shared" si="4"/>
        <v>0.67708333333333337</v>
      </c>
    </row>
    <row r="53" spans="2:22" ht="34.950000000000003" customHeight="1" x14ac:dyDescent="0.3">
      <c r="B53" s="51" t="str">
        <f t="shared" si="21"/>
        <v>Selasa</v>
      </c>
      <c r="C53" s="51">
        <v>0.60763888888888895</v>
      </c>
      <c r="D53" s="51" t="str">
        <f t="shared" si="3"/>
        <v>s/d</v>
      </c>
      <c r="E53" s="51">
        <f t="shared" si="31"/>
        <v>0.67708333333333337</v>
      </c>
      <c r="F53" s="101" t="s">
        <v>571</v>
      </c>
      <c r="G53" s="115" t="s">
        <v>394</v>
      </c>
      <c r="H53" s="52" t="str">
        <f>IF(F53="","",VLOOKUP(F53,'SELECT KELAS GENAP'!C$8:N$181,2,FALSE))</f>
        <v>INF-55201-213</v>
      </c>
      <c r="I53" s="236" t="str">
        <f>IF(F53="","",VLOOKUP(F53,'SELECT KELAS GENAP'!C$8:N$175,3,FALSE))</f>
        <v>Sistem Informasi</v>
      </c>
      <c r="J53" s="52" t="str">
        <f>IF(F53="","",VLOOKUP(F53,'SELECT KELAS GENAP'!C$8:N$181,12,FALSE))</f>
        <v>EFR / YL</v>
      </c>
      <c r="K53" s="237" t="str">
        <f>IF(F53="","",VLOOKUP(F53,'SELECT KELAS GENAP'!C$8:N$181,8,FALSE))</f>
        <v>EFR</v>
      </c>
      <c r="L53" s="237" t="str">
        <f>IF(F53="","",VLOOKUP(F53,'SELECT KELAS GENAP'!C$8:N$181,10,FALSE))</f>
        <v>YL</v>
      </c>
      <c r="M53" s="52" t="str">
        <f>IF(F53="","",VLOOKUP(F53,'SELECT KELAS GENAP'!C$8:N$181,6,FALSE))</f>
        <v>B</v>
      </c>
      <c r="N53" s="52">
        <f>IF(F53="","",VLOOKUP(F53,'SELECT KELAS GENAP'!C$8:N$181,4,FALSE))</f>
        <v>4</v>
      </c>
      <c r="O53" s="52">
        <f>IF(F53="","",VLOOKUP(F53,'SELECT KELAS GENAP'!C$8:N$181,5,FALSE))</f>
        <v>2</v>
      </c>
      <c r="P53" s="52">
        <f>IF(F53="","",VLOOKUP(F53,'SELECT KELAS GENAP'!C$8:W$181,21,FALSE))</f>
        <v>28</v>
      </c>
      <c r="Q53" s="52" t="str">
        <f>IF(F53="","",VLOOKUP(F53,'SELECT KELAS GENAP'!C$8:N$181,7,FALSE))</f>
        <v>Eva Faja Ripanti, S.Kom, MMSI, Ph.D</v>
      </c>
      <c r="R53" s="52" t="str">
        <f>IF(F53="","",VLOOKUP(F53,'SELECT KELAS GENAP'!C$8:N$181,9,FALSE))</f>
        <v>Yulianti,S.Kom, MMSI</v>
      </c>
      <c r="S53" s="98" t="str">
        <f>IF(F53="","",VLOOKUP(F53,'SELECT KELAS GENAP'!C$8:N$181,11,FALSE))</f>
        <v>Eva Faja Ripanti, S.Kom, MMSI, Ph.D / Yulianti,S.Kom, MMSI</v>
      </c>
      <c r="T53" s="52"/>
      <c r="U53" s="206">
        <f t="shared" si="8"/>
        <v>0.60763888888888895</v>
      </c>
      <c r="V53" s="206">
        <f t="shared" si="4"/>
        <v>0.67708333333333337</v>
      </c>
    </row>
    <row r="54" spans="2:22" ht="34.950000000000003" customHeight="1" x14ac:dyDescent="0.3">
      <c r="B54" s="51" t="str">
        <f t="shared" si="21"/>
        <v>Selasa</v>
      </c>
      <c r="C54" s="51">
        <v>0.60763888888888895</v>
      </c>
      <c r="D54" s="51" t="str">
        <f t="shared" si="3"/>
        <v>s/d</v>
      </c>
      <c r="E54" s="51">
        <f t="shared" si="31"/>
        <v>0.67708333333333337</v>
      </c>
      <c r="F54" s="101" t="s">
        <v>592</v>
      </c>
      <c r="G54" s="115" t="s">
        <v>394</v>
      </c>
      <c r="H54" s="52" t="str">
        <f>IF(F54="","",VLOOKUP(F54,'SELECT KELAS GENAP'!C$8:N$181,2,FALSE))</f>
        <v xml:space="preserve"> INF-55201-312</v>
      </c>
      <c r="I54" s="236" t="str">
        <f>IF(F54="","",VLOOKUP(F54,'SELECT KELAS GENAP'!C$8:N$175,3,FALSE))</f>
        <v>Sosio dan Etika Profesi</v>
      </c>
      <c r="J54" s="52" t="str">
        <f>IF(F54="","",VLOOKUP(F54,'SELECT KELAS GENAP'!C$8:N$181,12,FALSE))</f>
        <v>HM</v>
      </c>
      <c r="K54" s="237" t="str">
        <f>IF(F54="","",VLOOKUP(F54,'SELECT KELAS GENAP'!C$8:N$181,8,FALSE))</f>
        <v>HM</v>
      </c>
      <c r="L54" s="237" t="str">
        <f>IF(F54="","",VLOOKUP(F54,'SELECT KELAS GENAP'!C$8:N$181,10,FALSE))</f>
        <v>-</v>
      </c>
      <c r="M54" s="52" t="str">
        <f>IF(F54="","",VLOOKUP(F54,'SELECT KELAS GENAP'!C$8:N$181,6,FALSE))</f>
        <v>D</v>
      </c>
      <c r="N54" s="52">
        <f>IF(F54="","",VLOOKUP(F54,'SELECT KELAS GENAP'!C$8:N$181,4,FALSE))</f>
        <v>6</v>
      </c>
      <c r="O54" s="52">
        <f>IF(F54="","",VLOOKUP(F54,'SELECT KELAS GENAP'!C$8:N$181,5,FALSE))</f>
        <v>2</v>
      </c>
      <c r="P54" s="52">
        <f>IF(F54="","",VLOOKUP(F54,'SELECT KELAS GENAP'!C$8:W$181,21,FALSE))</f>
        <v>28</v>
      </c>
      <c r="Q54" s="52" t="str">
        <f>IF(F54="","",VLOOKUP(F54,'SELECT KELAS GENAP'!C$8:N$181,7,FALSE))</f>
        <v>Hafiz Muhardi, S.T., M.Kom</v>
      </c>
      <c r="R54" s="52" t="str">
        <f>IF(F54="","",VLOOKUP(F54,'SELECT KELAS GENAP'!C$8:N$181,9,FALSE))</f>
        <v>None</v>
      </c>
      <c r="S54" s="98" t="str">
        <f>IF(F54="","",VLOOKUP(F54,'SELECT KELAS GENAP'!C$8:N$181,11,FALSE))</f>
        <v>Hafiz Muhardi, S.T., M.Kom</v>
      </c>
      <c r="T54" s="52"/>
      <c r="U54" s="206">
        <f t="shared" si="8"/>
        <v>0.60763888888888895</v>
      </c>
      <c r="V54" s="206">
        <f t="shared" si="4"/>
        <v>0.67708333333333337</v>
      </c>
    </row>
    <row r="55" spans="2:22" ht="34.950000000000003" customHeight="1" x14ac:dyDescent="0.3">
      <c r="B55" s="51" t="str">
        <f t="shared" si="21"/>
        <v>Selasa</v>
      </c>
      <c r="C55" s="51">
        <v>0.60763888888888895</v>
      </c>
      <c r="D55" s="51" t="str">
        <f t="shared" si="3"/>
        <v>s/d</v>
      </c>
      <c r="E55" s="51">
        <f t="shared" si="31"/>
        <v>0.67708333333333337</v>
      </c>
      <c r="F55" s="101" t="s">
        <v>587</v>
      </c>
      <c r="G55" s="115" t="s">
        <v>394</v>
      </c>
      <c r="H55" s="52" t="str">
        <f>IF(F55="","",VLOOKUP(F55,'SELECT KELAS GENAP'!C$8:N$181,2,FALSE))</f>
        <v xml:space="preserve"> INF-55201-307</v>
      </c>
      <c r="I55" s="236" t="str">
        <f>IF(F55="","",VLOOKUP(F55,'SELECT KELAS GENAP'!C$8:N$175,3,FALSE))</f>
        <v xml:space="preserve">Teori Komputer Grafis </v>
      </c>
      <c r="J55" s="52" t="str">
        <f>IF(F55="","",VLOOKUP(F55,'SELECT KELAS GENAP'!C$8:N$181,12,FALSE))</f>
        <v>HA</v>
      </c>
      <c r="K55" s="237" t="str">
        <f>IF(F55="","",VLOOKUP(F55,'SELECT KELAS GENAP'!C$8:N$181,8,FALSE))</f>
        <v>HA</v>
      </c>
      <c r="L55" s="237" t="str">
        <f>IF(F55="","",VLOOKUP(F55,'SELECT KELAS GENAP'!C$8:N$181,10,FALSE))</f>
        <v>-</v>
      </c>
      <c r="M55" s="52" t="str">
        <f>IF(F55="","",VLOOKUP(F55,'SELECT KELAS GENAP'!C$8:N$181,6,FALSE))</f>
        <v>B</v>
      </c>
      <c r="N55" s="52">
        <f>IF(F55="","",VLOOKUP(F55,'SELECT KELAS GENAP'!C$8:N$181,4,FALSE))</f>
        <v>6</v>
      </c>
      <c r="O55" s="52">
        <f>IF(F55="","",VLOOKUP(F55,'SELECT KELAS GENAP'!C$8:N$181,5,FALSE))</f>
        <v>2</v>
      </c>
      <c r="P55" s="52">
        <f>IF(F55="","",VLOOKUP(F55,'SELECT KELAS GENAP'!C$8:W$181,21,FALSE))</f>
        <v>28</v>
      </c>
      <c r="Q55" s="52" t="str">
        <f>IF(F55="","",VLOOKUP(F55,'SELECT KELAS GENAP'!C$8:N$181,7,FALSE))</f>
        <v>H. Hengky Anra, S.T., M.Kom</v>
      </c>
      <c r="R55" s="52" t="str">
        <f>IF(F55="","",VLOOKUP(F55,'SELECT KELAS GENAP'!C$8:N$181,9,FALSE))</f>
        <v>None</v>
      </c>
      <c r="S55" s="98" t="str">
        <f>IF(F55="","",VLOOKUP(F55,'SELECT KELAS GENAP'!C$8:N$181,11,FALSE))</f>
        <v>H. Hengky Anra, S.T., M.Kom</v>
      </c>
      <c r="T55" s="52"/>
      <c r="U55" s="206">
        <f t="shared" si="8"/>
        <v>0.60763888888888895</v>
      </c>
      <c r="V55" s="206">
        <f t="shared" si="4"/>
        <v>0.67708333333333337</v>
      </c>
    </row>
    <row r="56" spans="2:22" ht="34.799999999999997" customHeight="1" x14ac:dyDescent="0.3">
      <c r="B56" s="51" t="str">
        <f t="shared" si="21"/>
        <v/>
      </c>
      <c r="C56" s="51"/>
      <c r="D56" s="51" t="str">
        <f t="shared" ref="D56" si="32">IF(C56="","","s/d")</f>
        <v/>
      </c>
      <c r="E56" s="51" t="str">
        <f t="shared" si="31"/>
        <v/>
      </c>
      <c r="F56" s="101"/>
      <c r="G56" s="115"/>
      <c r="H56" s="52" t="str">
        <f>IF(F56="","",VLOOKUP(F56,'SELECT KELAS GENAP'!C$8:N$181,2,FALSE))</f>
        <v/>
      </c>
      <c r="I56" s="236" t="str">
        <f>IF(F56="","",VLOOKUP(F56,'SELECT KELAS GENAP'!C$8:N$175,3,FALSE))</f>
        <v/>
      </c>
      <c r="J56" s="52" t="str">
        <f>IF(F56="","",VLOOKUP(F56,'SELECT KELAS GENAP'!C$8:N$181,12,FALSE))</f>
        <v/>
      </c>
      <c r="K56" s="237" t="str">
        <f>IF(F56="","",VLOOKUP(F56,'SELECT KELAS GENAP'!C$8:N$181,8,FALSE))</f>
        <v/>
      </c>
      <c r="L56" s="237" t="str">
        <f>IF(F56="","",VLOOKUP(F56,'SELECT KELAS GENAP'!C$8:N$181,10,FALSE))</f>
        <v/>
      </c>
      <c r="M56" s="52" t="str">
        <f>IF(F56="","",VLOOKUP(F56,'SELECT KELAS GENAP'!C$8:N$181,6,FALSE))</f>
        <v/>
      </c>
      <c r="N56" s="52" t="str">
        <f>IF(F56="","",VLOOKUP(F56,'SELECT KELAS GENAP'!C$8:N$181,4,FALSE))</f>
        <v/>
      </c>
      <c r="O56" s="52" t="str">
        <f>IF(F56="","",VLOOKUP(F56,'SELECT KELAS GENAP'!C$8:N$181,5,FALSE))</f>
        <v/>
      </c>
      <c r="P56" s="52" t="str">
        <f>IF(F56="","",VLOOKUP(F56,'SELECT KELAS GENAP'!C$8:W$181,21,FALSE))</f>
        <v/>
      </c>
      <c r="Q56" s="52" t="str">
        <f>IF(F56="","",VLOOKUP(F56,'SELECT KELAS GENAP'!C$8:N$181,7,FALSE))</f>
        <v/>
      </c>
      <c r="R56" s="52" t="str">
        <f>IF(F56="","",VLOOKUP(F56,'SELECT KELAS GENAP'!C$8:N$181,9,FALSE))</f>
        <v/>
      </c>
      <c r="S56" s="98" t="str">
        <f>IF(F56="","",VLOOKUP(F56,'SELECT KELAS GENAP'!C$8:N$181,11,FALSE))</f>
        <v/>
      </c>
      <c r="T56" s="52"/>
      <c r="U56" s="206"/>
      <c r="V56" s="206"/>
    </row>
    <row r="57" spans="2:22" s="248" customFormat="1" ht="34.799999999999997" customHeight="1" x14ac:dyDescent="0.3">
      <c r="B57" s="250"/>
      <c r="C57" s="241"/>
      <c r="D57" s="241" t="str">
        <f t="shared" si="3"/>
        <v/>
      </c>
      <c r="E57" s="241"/>
      <c r="F57" s="242"/>
      <c r="G57" s="243" t="s">
        <v>394</v>
      </c>
      <c r="H57" s="244" t="str">
        <f>IF(F57="","",VLOOKUP(F57,'SELECT KELAS GENAP'!C$8:N$181,2,FALSE))</f>
        <v/>
      </c>
      <c r="I57" s="245" t="str">
        <f>IF(F57="","",VLOOKUP(F57,'SELECT KELAS GENAP'!C$8:N$175,3,FALSE))</f>
        <v/>
      </c>
      <c r="J57" s="244" t="str">
        <f>IF(F57="","",VLOOKUP(F57,'SELECT KELAS GENAP'!C$8:N$181,12,FALSE))</f>
        <v/>
      </c>
      <c r="K57" s="246" t="str">
        <f>IF(F57="","",VLOOKUP(F57,'SELECT KELAS GENAP'!C$8:N$181,8,FALSE))</f>
        <v/>
      </c>
      <c r="L57" s="246" t="str">
        <f>IF(F57="","",VLOOKUP(F57,'SELECT KELAS GENAP'!C$8:N$181,10,FALSE))</f>
        <v/>
      </c>
      <c r="M57" s="244" t="str">
        <f>IF(F57="","",VLOOKUP(F57,'SELECT KELAS GENAP'!C$8:N$181,6,FALSE))</f>
        <v/>
      </c>
      <c r="N57" s="244" t="str">
        <f>IF(F57="","",VLOOKUP(F57,'SELECT KELAS GENAP'!C$8:N$181,4,FALSE))</f>
        <v/>
      </c>
      <c r="O57" s="244" t="str">
        <f>IF(F57="","",VLOOKUP(F57,'SELECT KELAS GENAP'!C$8:N$181,5,FALSE))</f>
        <v/>
      </c>
      <c r="P57" s="244" t="str">
        <f>IF(F57="","",VLOOKUP(F57,'SELECT KELAS GENAP'!C$8:W$181,21,FALSE))</f>
        <v/>
      </c>
      <c r="Q57" s="244" t="str">
        <f>IF(F57="","",VLOOKUP(F57,'SELECT KELAS GENAP'!C$8:N$181,7,FALSE))</f>
        <v/>
      </c>
      <c r="R57" s="244" t="str">
        <f>IF(F57="","",VLOOKUP(F57,'SELECT KELAS GENAP'!C$8:N$181,9,FALSE))</f>
        <v/>
      </c>
      <c r="S57" s="245" t="str">
        <f>IF(F57="","",VLOOKUP(F57,'SELECT KELAS GENAP'!C$8:N$181,11,FALSE))</f>
        <v/>
      </c>
      <c r="T57" s="244"/>
      <c r="U57" s="247">
        <f t="shared" si="8"/>
        <v>0</v>
      </c>
      <c r="V57" s="247">
        <f t="shared" si="4"/>
        <v>0</v>
      </c>
    </row>
    <row r="58" spans="2:22" ht="34.950000000000003" customHeight="1" x14ac:dyDescent="0.3">
      <c r="B58" s="51" t="str">
        <f>IF(C58="","","Rabu")</f>
        <v>Rabu</v>
      </c>
      <c r="C58" s="51">
        <v>0.3125</v>
      </c>
      <c r="D58" s="51" t="str">
        <f t="shared" si="3"/>
        <v>s/d</v>
      </c>
      <c r="E58" s="51">
        <f t="shared" ref="E58:E63" si="33">IF(O58="","",(IF(O58=4,C58+TIME(0,2*50,0),C58+TIME(0,O58*50,0))))</f>
        <v>0.41666666666666669</v>
      </c>
      <c r="F58" s="101" t="s">
        <v>546</v>
      </c>
      <c r="G58" s="115" t="s">
        <v>394</v>
      </c>
      <c r="H58" s="52" t="str">
        <f>IF(F58="","",VLOOKUP(F58,'SELECT KELAS GENAP'!C$8:N$181,2,FALSE))</f>
        <v>INF-55201-108</v>
      </c>
      <c r="I58" s="232" t="str">
        <f>IF(F58="","",VLOOKUP(F58,'SELECT KELAS GENAP'!C$8:N$175,3,FALSE))</f>
        <v>Dasar rekayasa perangkat lunak</v>
      </c>
      <c r="J58" s="52" t="str">
        <f>IF(F58="","",VLOOKUP(F58,'SELECT KELAS GENAP'!C$8:N$181,12,FALSE))</f>
        <v>YS / DIU</v>
      </c>
      <c r="K58" s="237" t="str">
        <f>IF(F58="","",VLOOKUP(F58,'SELECT KELAS GENAP'!C$8:N$181,8,FALSE))</f>
        <v>YS</v>
      </c>
      <c r="L58" s="237" t="str">
        <f>IF(F58="","",VLOOKUP(F58,'SELECT KELAS GENAP'!C$8:N$181,10,FALSE))</f>
        <v>DIU</v>
      </c>
      <c r="M58" s="52" t="str">
        <f>IF(F58="","",VLOOKUP(F58,'SELECT KELAS GENAP'!C$8:N$181,6,FALSE))</f>
        <v>B</v>
      </c>
      <c r="N58" s="52">
        <f>IF(F58="","",VLOOKUP(F58,'SELECT KELAS GENAP'!C$8:N$181,4,FALSE))</f>
        <v>2</v>
      </c>
      <c r="O58" s="52">
        <f>IF(F58="","",VLOOKUP(F58,'SELECT KELAS GENAP'!C$8:N$181,5,FALSE))</f>
        <v>3</v>
      </c>
      <c r="P58" s="52">
        <f>IF(F58="","",VLOOKUP(F58,'SELECT KELAS GENAP'!C$8:W$181,21,FALSE))</f>
        <v>28</v>
      </c>
      <c r="Q58" s="52" t="str">
        <f>IF(F58="","",VLOOKUP(F58,'SELECT KELAS GENAP'!C$8:N$181,7,FALSE))</f>
        <v>Dr. Yus Sholva, S.T., M.T.</v>
      </c>
      <c r="R58" s="52" t="str">
        <f>IF(F58="","",VLOOKUP(F58,'SELECT KELAS GENAP'!C$8:N$181,9,FALSE))</f>
        <v>Desepta Isna Ulumi, S.Kom, M.Kom.</v>
      </c>
      <c r="S58" s="98" t="str">
        <f>IF(F58="","",VLOOKUP(F58,'SELECT KELAS GENAP'!C$8:N$181,11,FALSE))</f>
        <v>Dr. Yus Sholva, S.T., M.T. / Desepta Isna Ulumi, S.Kom, M.Kom.</v>
      </c>
      <c r="T58" s="52"/>
      <c r="U58" s="206">
        <f t="shared" si="8"/>
        <v>0.3125</v>
      </c>
      <c r="V58" s="206">
        <f t="shared" si="4"/>
        <v>0.41666666666666669</v>
      </c>
    </row>
    <row r="59" spans="2:22" ht="34.950000000000003" customHeight="1" x14ac:dyDescent="0.3">
      <c r="B59" s="51" t="str">
        <f t="shared" ref="B59:B83" si="34">IF(C59="","","Rabu")</f>
        <v>Rabu</v>
      </c>
      <c r="C59" s="51">
        <v>0.3125</v>
      </c>
      <c r="D59" s="51" t="str">
        <f t="shared" si="3"/>
        <v>s/d</v>
      </c>
      <c r="E59" s="51">
        <f t="shared" si="33"/>
        <v>0.41666666666666669</v>
      </c>
      <c r="F59" s="101" t="s">
        <v>508</v>
      </c>
      <c r="G59" s="115" t="s">
        <v>394</v>
      </c>
      <c r="H59" s="52" t="str">
        <f>IF(F59="","",VLOOKUP(F59,'SELECT KELAS GENAP'!C$8:N$181,2,FALSE))</f>
        <v>INF-55201-106</v>
      </c>
      <c r="I59" s="232" t="str">
        <f>IF(F59="","",VLOOKUP(F59,'SELECT KELAS GENAP'!C$8:N$175,3,FALSE))</f>
        <v>Matematika  Dasar II</v>
      </c>
      <c r="J59" s="52" t="str">
        <f>IF(F59="","",VLOOKUP(F59,'SELECT KELAS GENAP'!C$8:N$181,12,FALSE))</f>
        <v>AS / RS</v>
      </c>
      <c r="K59" s="237" t="str">
        <f>IF(F59="","",VLOOKUP(F59,'SELECT KELAS GENAP'!C$8:N$181,8,FALSE))</f>
        <v>AS</v>
      </c>
      <c r="L59" s="237" t="str">
        <f>IF(F59="","",VLOOKUP(F59,'SELECT KELAS GENAP'!C$8:N$181,10,FALSE))</f>
        <v>RS</v>
      </c>
      <c r="M59" s="52" t="str">
        <f>IF(F59="","",VLOOKUP(F59,'SELECT KELAS GENAP'!C$8:N$181,6,FALSE))</f>
        <v>A</v>
      </c>
      <c r="N59" s="52">
        <f>IF(F59="","",VLOOKUP(F59,'SELECT KELAS GENAP'!C$8:N$181,4,FALSE))</f>
        <v>2</v>
      </c>
      <c r="O59" s="52">
        <f>IF(F59="","",VLOOKUP(F59,'SELECT KELAS GENAP'!C$8:N$181,5,FALSE))</f>
        <v>3</v>
      </c>
      <c r="P59" s="52">
        <f>IF(F59="","",VLOOKUP(F59,'SELECT KELAS GENAP'!C$8:W$181,21,FALSE))</f>
        <v>28</v>
      </c>
      <c r="Q59" s="52" t="str">
        <f>IF(F59="","",VLOOKUP(F59,'SELECT KELAS GENAP'!C$8:N$181,7,FALSE))</f>
        <v>Anggi Srimurdianti, S.T., M.T.</v>
      </c>
      <c r="R59" s="52" t="str">
        <f>IF(F59="","",VLOOKUP(F59,'SELECT KELAS GENAP'!C$8:N$181,9,FALSE))</f>
        <v>Rina Septiriana, S.T., M.Cs.</v>
      </c>
      <c r="S59" s="98" t="str">
        <f>IF(F59="","",VLOOKUP(F59,'SELECT KELAS GENAP'!C$8:N$181,11,FALSE))</f>
        <v>Anggi Srimurdianti, S.T., M.T. / Rina Septiriana, S.T., M.Cs.</v>
      </c>
      <c r="T59" s="52"/>
      <c r="U59" s="206">
        <f t="shared" si="8"/>
        <v>0.3125</v>
      </c>
      <c r="V59" s="206">
        <f t="shared" si="4"/>
        <v>0.41666666666666669</v>
      </c>
    </row>
    <row r="60" spans="2:22" ht="34.950000000000003" customHeight="1" x14ac:dyDescent="0.3">
      <c r="B60" s="51" t="str">
        <f t="shared" si="34"/>
        <v>Rabu</v>
      </c>
      <c r="C60" s="51">
        <v>0.3125</v>
      </c>
      <c r="D60" s="51" t="str">
        <f t="shared" si="3"/>
        <v>s/d</v>
      </c>
      <c r="E60" s="51">
        <f t="shared" si="33"/>
        <v>0.41666666666666669</v>
      </c>
      <c r="F60" s="101" t="s">
        <v>519</v>
      </c>
      <c r="G60" s="115" t="s">
        <v>394</v>
      </c>
      <c r="H60" s="52" t="str">
        <f>IF(F60="","",VLOOKUP(F60,'SELECT KELAS GENAP'!C$8:N$181,2,FALSE))</f>
        <v>INF-55201-214</v>
      </c>
      <c r="I60" s="232" t="str">
        <f>IF(F60="","",VLOOKUP(F60,'SELECT KELAS GENAP'!C$8:N$175,3,FALSE))</f>
        <v>Sistem Pendukung Keputusan</v>
      </c>
      <c r="J60" s="52" t="str">
        <f>IF(F60="","",VLOOKUP(F60,'SELECT KELAS GENAP'!C$8:N$181,12,FALSE))</f>
        <v>TR</v>
      </c>
      <c r="K60" s="237" t="str">
        <f>IF(F60="","",VLOOKUP(F60,'SELECT KELAS GENAP'!C$8:N$181,8,FALSE))</f>
        <v>TR</v>
      </c>
      <c r="L60" s="237" t="str">
        <f>IF(F60="","",VLOOKUP(F60,'SELECT KELAS GENAP'!C$8:N$181,10,FALSE))</f>
        <v>-</v>
      </c>
      <c r="M60" s="52" t="str">
        <f>IF(F60="","",VLOOKUP(F60,'SELECT KELAS GENAP'!C$8:N$181,6,FALSE))</f>
        <v>D</v>
      </c>
      <c r="N60" s="52">
        <f>IF(F60="","",VLOOKUP(F60,'SELECT KELAS GENAP'!C$8:N$181,4,FALSE))</f>
        <v>4</v>
      </c>
      <c r="O60" s="52">
        <f>IF(F60="","",VLOOKUP(F60,'SELECT KELAS GENAP'!C$8:N$181,5,FALSE))</f>
        <v>3</v>
      </c>
      <c r="P60" s="52">
        <f>IF(F60="","",VLOOKUP(F60,'SELECT KELAS GENAP'!C$8:W$181,21,FALSE))</f>
        <v>28</v>
      </c>
      <c r="Q60" s="52" t="str">
        <f>IF(F60="","",VLOOKUP(F60,'SELECT KELAS GENAP'!C$8:N$181,7,FALSE))</f>
        <v>Tursina ST, M.Cs</v>
      </c>
      <c r="R60" s="52" t="str">
        <f>IF(F60="","",VLOOKUP(F60,'SELECT KELAS GENAP'!C$8:N$181,9,FALSE))</f>
        <v>None</v>
      </c>
      <c r="S60" s="98" t="str">
        <f>IF(F60="","",VLOOKUP(F60,'SELECT KELAS GENAP'!C$8:N$181,11,FALSE))</f>
        <v>Tursina ST, M.Cs</v>
      </c>
      <c r="T60" s="52"/>
      <c r="U60" s="206">
        <f t="shared" si="8"/>
        <v>0.3125</v>
      </c>
      <c r="V60" s="206">
        <f t="shared" si="4"/>
        <v>0.41666666666666669</v>
      </c>
    </row>
    <row r="61" spans="2:22" ht="34.950000000000003" customHeight="1" x14ac:dyDescent="0.3">
      <c r="B61" s="51" t="str">
        <f t="shared" si="34"/>
        <v>Rabu</v>
      </c>
      <c r="C61" s="51">
        <v>0.3125</v>
      </c>
      <c r="D61" s="51" t="str">
        <f t="shared" si="3"/>
        <v>s/d</v>
      </c>
      <c r="E61" s="51">
        <f t="shared" si="33"/>
        <v>0.38194444444444442</v>
      </c>
      <c r="F61" s="101" t="s">
        <v>613</v>
      </c>
      <c r="G61" s="115" t="s">
        <v>394</v>
      </c>
      <c r="H61" s="52" t="str">
        <f>IF(F61="","",VLOOKUP(F61,'SELECT KELAS GENAP'!C$8:N$181,2,FALSE))</f>
        <v>INF-55201-209</v>
      </c>
      <c r="I61" s="232" t="str">
        <f>IF(F61="","",VLOOKUP(F61,'SELECT KELAS GENAP'!C$8:N$175,3,FALSE))</f>
        <v>Otomata</v>
      </c>
      <c r="J61" s="52" t="str">
        <f>IF(F61="","",VLOOKUP(F61,'SELECT KELAS GENAP'!C$8:N$181,12,FALSE))</f>
        <v>NS / KH</v>
      </c>
      <c r="K61" s="237" t="str">
        <f>IF(F61="","",VLOOKUP(F61,'SELECT KELAS GENAP'!C$8:N$181,8,FALSE))</f>
        <v>NS</v>
      </c>
      <c r="L61" s="237" t="str">
        <f>IF(F61="","",VLOOKUP(F61,'SELECT KELAS GENAP'!C$8:N$181,10,FALSE))</f>
        <v>KH</v>
      </c>
      <c r="M61" s="52" t="str">
        <f>IF(F61="","",VLOOKUP(F61,'SELECT KELAS GENAP'!C$8:N$181,6,FALSE))</f>
        <v>C</v>
      </c>
      <c r="N61" s="52">
        <f>IF(F61="","",VLOOKUP(F61,'SELECT KELAS GENAP'!C$8:N$181,4,FALSE))</f>
        <v>4</v>
      </c>
      <c r="O61" s="52">
        <f>IF(F61="","",VLOOKUP(F61,'SELECT KELAS GENAP'!C$8:N$181,5,FALSE))</f>
        <v>2</v>
      </c>
      <c r="P61" s="52">
        <f>IF(F61="","",VLOOKUP(F61,'SELECT KELAS GENAP'!C$8:W$181,21,FALSE))</f>
        <v>28</v>
      </c>
      <c r="Q61" s="52" t="str">
        <f>IF(F61="","",VLOOKUP(F61,'SELECT KELAS GENAP'!C$8:N$181,7,FALSE))</f>
        <v>Novi Safriadi, S.T., M.T.</v>
      </c>
      <c r="R61" s="52" t="str">
        <f>IF(F61="","",VLOOKUP(F61,'SELECT KELAS GENAP'!C$8:N$181,9,FALSE))</f>
        <v>Khairul Hafidh, S.T., M.Kom.</v>
      </c>
      <c r="S61" s="98" t="str">
        <f>IF(F61="","",VLOOKUP(F61,'SELECT KELAS GENAP'!C$8:N$181,11,FALSE))</f>
        <v>Novi Safriadi, S.T., M.T. / Khairul Hafidh, S.T., M.Kom.</v>
      </c>
      <c r="T61" s="52"/>
      <c r="U61" s="206">
        <f t="shared" si="8"/>
        <v>0.3125</v>
      </c>
      <c r="V61" s="206">
        <f t="shared" si="4"/>
        <v>0.38194444444444442</v>
      </c>
    </row>
    <row r="62" spans="2:22" ht="34.950000000000003" customHeight="1" x14ac:dyDescent="0.3">
      <c r="B62" s="51" t="str">
        <f t="shared" si="34"/>
        <v>Rabu</v>
      </c>
      <c r="C62" s="51">
        <v>0.3125</v>
      </c>
      <c r="D62" s="51" t="str">
        <f t="shared" ref="D62" si="35">IF(C62="","","s/d")</f>
        <v>s/d</v>
      </c>
      <c r="E62" s="51">
        <f t="shared" si="33"/>
        <v>0.41666666666666669</v>
      </c>
      <c r="F62" s="101" t="s">
        <v>614</v>
      </c>
      <c r="G62" s="115" t="s">
        <v>394</v>
      </c>
      <c r="H62" s="52" t="str">
        <f>IF(F62="","",VLOOKUP(F62,'SELECT KELAS GENAP'!C$8:N$181,2,FALSE))</f>
        <v xml:space="preserve"> INF-55201-309</v>
      </c>
      <c r="I62" s="232" t="str">
        <f>IF(F62="","",VLOOKUP(F62,'SELECT KELAS GENAP'!C$8:N$175,3,FALSE))</f>
        <v>Keamanan  Informasi  dan  Jaringan*</v>
      </c>
      <c r="J62" s="52" t="str">
        <f>IF(F62="","",VLOOKUP(F62,'SELECT KELAS GENAP'!C$8:N$181,12,FALSE))</f>
        <v>HN / AAJ</v>
      </c>
      <c r="K62" s="237" t="str">
        <f>IF(F62="","",VLOOKUP(F62,'SELECT KELAS GENAP'!C$8:N$181,8,FALSE))</f>
        <v>HN</v>
      </c>
      <c r="L62" s="237" t="str">
        <f>IF(F62="","",VLOOKUP(F62,'SELECT KELAS GENAP'!C$8:N$181,10,FALSE))</f>
        <v>AAJ</v>
      </c>
      <c r="M62" s="52" t="str">
        <f>IF(F62="","",VLOOKUP(F62,'SELECT KELAS GENAP'!C$8:N$181,6,FALSE))</f>
        <v>B</v>
      </c>
      <c r="N62" s="52">
        <f>IF(F62="","",VLOOKUP(F62,'SELECT KELAS GENAP'!C$8:N$181,4,FALSE))</f>
        <v>6</v>
      </c>
      <c r="O62" s="52">
        <f>IF(F62="","",VLOOKUP(F62,'SELECT KELAS GENAP'!C$8:N$181,5,FALSE))</f>
        <v>3</v>
      </c>
      <c r="P62" s="52">
        <f>IF(F62="","",VLOOKUP(F62,'SELECT KELAS GENAP'!C$8:W$181,21,FALSE))</f>
        <v>28</v>
      </c>
      <c r="Q62" s="52" t="str">
        <f>IF(F62="","",VLOOKUP(F62,'SELECT KELAS GENAP'!C$8:N$181,7,FALSE))</f>
        <v>Haried Novriando, S.Kom, M.Eng</v>
      </c>
      <c r="R62" s="52" t="str">
        <f>IF(F62="","",VLOOKUP(F62,'SELECT KELAS GENAP'!C$8:N$181,9,FALSE))</f>
        <v>Alfian Abdul Jalid, S.Kom., M.Cs.</v>
      </c>
      <c r="S62" s="98" t="str">
        <f>IF(F62="","",VLOOKUP(F62,'SELECT KELAS GENAP'!C$8:N$181,11,FALSE))</f>
        <v>Haried Novriando, S.Kom, M.Eng / Alfian Abdul Jalid, S.Kom., M.Cs.</v>
      </c>
      <c r="T62" s="52"/>
      <c r="U62" s="206">
        <f t="shared" si="8"/>
        <v>0.3125</v>
      </c>
      <c r="V62" s="206">
        <f t="shared" si="4"/>
        <v>0.41666666666666669</v>
      </c>
    </row>
    <row r="63" spans="2:22" ht="34.950000000000003" customHeight="1" x14ac:dyDescent="0.3">
      <c r="B63" s="51" t="str">
        <f t="shared" si="34"/>
        <v>Rabu</v>
      </c>
      <c r="C63" s="51">
        <v>0.3125</v>
      </c>
      <c r="D63" s="51" t="str">
        <f t="shared" ref="D63" si="36">IF(C63="","","s/d")</f>
        <v>s/d</v>
      </c>
      <c r="E63" s="51">
        <f t="shared" si="33"/>
        <v>0.41666666666666669</v>
      </c>
      <c r="F63" s="101" t="s">
        <v>553</v>
      </c>
      <c r="G63" s="115"/>
      <c r="H63" s="52" t="str">
        <f>IF(F63="","",VLOOKUP(F63,'SELECT KELAS GENAP'!C$8:N$181,2,FALSE))</f>
        <v xml:space="preserve"> INF-55201-313</v>
      </c>
      <c r="I63" s="232" t="str">
        <f>IF(F63="","",VLOOKUP(F63,'SELECT KELAS GENAP'!C$8:N$175,3,FALSE))</f>
        <v>MK Pilihan Wajib Komputasi (PBA)</v>
      </c>
      <c r="J63" s="52" t="str">
        <f>IF(F63="","",VLOOKUP(F63,'SELECT KELAS GENAP'!C$8:N$181,12,FALSE))</f>
        <v>HS / ABP</v>
      </c>
      <c r="K63" s="237" t="str">
        <f>IF(F63="","",VLOOKUP(F63,'SELECT KELAS GENAP'!C$8:N$181,8,FALSE))</f>
        <v>HS</v>
      </c>
      <c r="L63" s="237" t="str">
        <f>IF(F63="","",VLOOKUP(F63,'SELECT KELAS GENAP'!C$8:N$181,10,FALSE))</f>
        <v>ABP</v>
      </c>
      <c r="M63" s="52" t="str">
        <f>IF(F63="","",VLOOKUP(F63,'SELECT KELAS GENAP'!C$8:N$181,6,FALSE))</f>
        <v>A</v>
      </c>
      <c r="N63" s="52">
        <f>IF(F63="","",VLOOKUP(F63,'SELECT KELAS GENAP'!C$8:N$181,4,FALSE))</f>
        <v>6</v>
      </c>
      <c r="O63" s="52">
        <f>IF(F63="","",VLOOKUP(F63,'SELECT KELAS GENAP'!C$8:N$181,5,FALSE))</f>
        <v>3</v>
      </c>
      <c r="P63" s="52">
        <f>IF(F63="","",VLOOKUP(F63,'SELECT KELAS GENAP'!C$8:W$181,21,FALSE))</f>
        <v>28</v>
      </c>
      <c r="Q63" s="52" t="str">
        <f>IF(F63="","",VLOOKUP(F63,'SELECT KELAS GENAP'!C$8:N$181,7,FALSE))</f>
        <v>Dr. Herry Sujaini, S.T., M.T.</v>
      </c>
      <c r="R63" s="52" t="str">
        <f>IF(F63="","",VLOOKUP(F63,'SELECT KELAS GENAP'!C$8:N$181,9,FALSE))</f>
        <v>Dr. Arif BPN, S.T., M.T.</v>
      </c>
      <c r="S63" s="98" t="str">
        <f>IF(F63="","",VLOOKUP(F63,'SELECT KELAS GENAP'!C$8:N$181,11,FALSE))</f>
        <v>Dr. Herry Sujaini, S.T., M.T. / Dr. Arif BPN, S.T., M.T.</v>
      </c>
      <c r="T63" s="52"/>
      <c r="U63" s="206">
        <f t="shared" si="8"/>
        <v>0.3125</v>
      </c>
      <c r="V63" s="206">
        <f t="shared" si="4"/>
        <v>0.41666666666666669</v>
      </c>
    </row>
    <row r="64" spans="2:22" ht="34.950000000000003" customHeight="1" x14ac:dyDescent="0.3">
      <c r="B64" s="51" t="str">
        <f t="shared" si="34"/>
        <v>Rabu</v>
      </c>
      <c r="C64" s="51">
        <v>0.3125</v>
      </c>
      <c r="D64" s="51" t="str">
        <f t="shared" si="3"/>
        <v>s/d</v>
      </c>
      <c r="E64" s="51">
        <f t="shared" ref="E64:E82" si="37">IF(O64="","",(IF(O64=4,C64+TIME(0,2*50,0),C64+TIME(0,O64*50,0))))</f>
        <v>0.41666666666666669</v>
      </c>
      <c r="F64" s="101" t="s">
        <v>596</v>
      </c>
      <c r="G64" s="115" t="s">
        <v>394</v>
      </c>
      <c r="H64" s="52" t="str">
        <f>IF(F64="","",VLOOKUP(F64,'SELECT KELAS GENAP'!C$8:N$181,2,FALSE))</f>
        <v>INF­55201­516</v>
      </c>
      <c r="I64" s="232" t="str">
        <f>IF(F64="","",VLOOKUP(F64,'SELECT KELAS GENAP'!C$8:N$175,3,FALSE))</f>
        <v xml:space="preserve">Data  Mining  </v>
      </c>
      <c r="J64" s="52" t="str">
        <f>IF(F64="","",VLOOKUP(F64,'SELECT KELAS GENAP'!C$8:N$181,12,FALSE))</f>
        <v>EE / NC</v>
      </c>
      <c r="K64" s="237" t="str">
        <f>IF(F64="","",VLOOKUP(F64,'SELECT KELAS GENAP'!C$8:N$181,8,FALSE))</f>
        <v>EE</v>
      </c>
      <c r="L64" s="237" t="str">
        <f>IF(F64="","",VLOOKUP(F64,'SELECT KELAS GENAP'!C$8:N$181,10,FALSE))</f>
        <v>NC</v>
      </c>
      <c r="M64" s="52" t="str">
        <f>IF(F64="","",VLOOKUP(F64,'SELECT KELAS GENAP'!C$8:N$181,6,FALSE))</f>
        <v>C</v>
      </c>
      <c r="N64" s="52">
        <f>IF(F64="","",VLOOKUP(F64,'SELECT KELAS GENAP'!C$8:N$181,4,FALSE))</f>
        <v>6</v>
      </c>
      <c r="O64" s="52">
        <f>IF(F64="","",VLOOKUP(F64,'SELECT KELAS GENAP'!C$8:N$181,5,FALSE))</f>
        <v>3</v>
      </c>
      <c r="P64" s="52">
        <f>IF(F64="","",VLOOKUP(F64,'SELECT KELAS GENAP'!C$8:W$181,21,FALSE))</f>
        <v>28</v>
      </c>
      <c r="Q64" s="52" t="str">
        <f>IF(F64="","",VLOOKUP(F64,'SELECT KELAS GENAP'!C$8:N$181,7,FALSE))</f>
        <v>Enda Esyudha Pratama, S.T., M.T.</v>
      </c>
      <c r="R64" s="52" t="str">
        <f>IF(F64="","",VLOOKUP(F64,'SELECT KELAS GENAP'!C$8:N$181,9,FALSE))</f>
        <v>Niken Candraningrum, S.T., M.Cs.</v>
      </c>
      <c r="S64" s="98" t="str">
        <f>IF(F64="","",VLOOKUP(F64,'SELECT KELAS GENAP'!C$8:N$181,11,FALSE))</f>
        <v>Enda Esyudha Pratama, S.T., M.T. / Niken Candraningrum, S.T., M.Cs.</v>
      </c>
      <c r="T64" s="52"/>
      <c r="U64" s="206">
        <f t="shared" si="8"/>
        <v>0.3125</v>
      </c>
      <c r="V64" s="206">
        <f t="shared" si="4"/>
        <v>0.41666666666666669</v>
      </c>
    </row>
    <row r="65" spans="2:22" ht="34.950000000000003" customHeight="1" x14ac:dyDescent="0.3">
      <c r="B65" s="51" t="str">
        <f t="shared" si="34"/>
        <v/>
      </c>
      <c r="C65" s="51"/>
      <c r="D65" s="51" t="str">
        <f t="shared" si="3"/>
        <v/>
      </c>
      <c r="E65" s="51" t="str">
        <f t="shared" si="37"/>
        <v/>
      </c>
      <c r="F65" s="101"/>
      <c r="G65" s="115" t="s">
        <v>394</v>
      </c>
      <c r="H65" s="52" t="str">
        <f>IF(F65="","",VLOOKUP(F65,'SELECT KELAS GENAP'!C$8:N$181,2,FALSE))</f>
        <v/>
      </c>
      <c r="I65" s="98" t="str">
        <f>IF(F65="","",VLOOKUP(F65,'SELECT KELAS GENAP'!C$8:N$175,3,FALSE))</f>
        <v/>
      </c>
      <c r="J65" s="52" t="str">
        <f>IF(F65="","",VLOOKUP(F65,'SELECT KELAS GENAP'!C$8:N$181,12,FALSE))</f>
        <v/>
      </c>
      <c r="K65" s="237" t="str">
        <f>IF(F65="","",VLOOKUP(F65,'SELECT KELAS GENAP'!C$8:N$181,8,FALSE))</f>
        <v/>
      </c>
      <c r="L65" s="237" t="str">
        <f>IF(F65="","",VLOOKUP(F65,'SELECT KELAS GENAP'!C$8:N$181,10,FALSE))</f>
        <v/>
      </c>
      <c r="M65" s="52" t="str">
        <f>IF(F65="","",VLOOKUP(F65,'SELECT KELAS GENAP'!C$8:N$181,6,FALSE))</f>
        <v/>
      </c>
      <c r="N65" s="52" t="str">
        <f>IF(F65="","",VLOOKUP(F65,'SELECT KELAS GENAP'!C$8:N$181,4,FALSE))</f>
        <v/>
      </c>
      <c r="O65" s="52" t="str">
        <f>IF(F65="","",VLOOKUP(F65,'SELECT KELAS GENAP'!C$8:N$181,5,FALSE))</f>
        <v/>
      </c>
      <c r="P65" s="52" t="str">
        <f>IF(F65="","",VLOOKUP(F65,'SELECT KELAS GENAP'!C$8:W$181,21,FALSE))</f>
        <v/>
      </c>
      <c r="Q65" s="52" t="str">
        <f>IF(F65="","",VLOOKUP(F65,'SELECT KELAS GENAP'!C$8:N$181,7,FALSE))</f>
        <v/>
      </c>
      <c r="R65" s="52" t="str">
        <f>IF(F65="","",VLOOKUP(F65,'SELECT KELAS GENAP'!C$8:N$181,9,FALSE))</f>
        <v/>
      </c>
      <c r="S65" s="98" t="str">
        <f>IF(F65="","",VLOOKUP(F65,'SELECT KELAS GENAP'!C$8:N$181,11,FALSE))</f>
        <v/>
      </c>
      <c r="T65" s="52"/>
      <c r="U65" s="206">
        <f t="shared" si="8"/>
        <v>0</v>
      </c>
      <c r="V65" s="206" t="str">
        <f t="shared" si="4"/>
        <v/>
      </c>
    </row>
    <row r="66" spans="2:22" ht="34.950000000000003" customHeight="1" x14ac:dyDescent="0.3">
      <c r="B66" s="51" t="str">
        <f t="shared" si="34"/>
        <v>Rabu</v>
      </c>
      <c r="C66" s="51">
        <v>0.4236111111111111</v>
      </c>
      <c r="D66" s="51" t="str">
        <f t="shared" si="3"/>
        <v>s/d</v>
      </c>
      <c r="E66" s="51">
        <f t="shared" si="37"/>
        <v>0.49305555555555558</v>
      </c>
      <c r="F66" s="101" t="s">
        <v>528</v>
      </c>
      <c r="G66" s="115" t="s">
        <v>394</v>
      </c>
      <c r="H66" s="52" t="str">
        <f>IF(F66="","",VLOOKUP(F66,'SELECT KELAS GENAP'!C$8:N$181,2,FALSE))</f>
        <v>UMG-55201-102</v>
      </c>
      <c r="I66" s="98" t="str">
        <f>IF(F66="","",VLOOKUP(F66,'SELECT KELAS GENAP'!C$8:N$175,3,FALSE))</f>
        <v>Bahasa Indonesia</v>
      </c>
      <c r="J66" s="52" t="str">
        <f>IF(F66="","",VLOOKUP(F66,'SELECT KELAS GENAP'!C$8:N$181,12,FALSE))</f>
        <v>MKU</v>
      </c>
      <c r="K66" s="237" t="str">
        <f>IF(F66="","",VLOOKUP(F66,'SELECT KELAS GENAP'!C$8:N$181,8,FALSE))</f>
        <v>MKU</v>
      </c>
      <c r="L66" s="237" t="str">
        <f>IF(F66="","",VLOOKUP(F66,'SELECT KELAS GENAP'!C$8:N$181,10,FALSE))</f>
        <v>-</v>
      </c>
      <c r="M66" s="52" t="str">
        <f>IF(F66="","",VLOOKUP(F66,'SELECT KELAS GENAP'!C$8:N$181,6,FALSE))</f>
        <v>C</v>
      </c>
      <c r="N66" s="52">
        <f>IF(F66="","",VLOOKUP(F66,'SELECT KELAS GENAP'!C$8:N$181,4,FALSE))</f>
        <v>2</v>
      </c>
      <c r="O66" s="52">
        <f>IF(F66="","",VLOOKUP(F66,'SELECT KELAS GENAP'!C$8:N$181,5,FALSE))</f>
        <v>2</v>
      </c>
      <c r="P66" s="52">
        <f>IF(F66="","",VLOOKUP(F66,'SELECT KELAS GENAP'!C$8:W$181,21,FALSE))</f>
        <v>28</v>
      </c>
      <c r="Q66" s="52" t="str">
        <f>IF(F66="","",VLOOKUP(F66,'SELECT KELAS GENAP'!C$8:N$181,7,FALSE))</f>
        <v>MKU</v>
      </c>
      <c r="R66" s="52" t="str">
        <f>IF(F66="","",VLOOKUP(F66,'SELECT KELAS GENAP'!C$8:N$181,9,FALSE))</f>
        <v>None</v>
      </c>
      <c r="S66" s="98" t="str">
        <f>IF(F66="","",VLOOKUP(F66,'SELECT KELAS GENAP'!C$8:N$181,11,FALSE))</f>
        <v>MKU</v>
      </c>
      <c r="T66" s="52"/>
      <c r="U66" s="206">
        <f t="shared" si="8"/>
        <v>0.4236111111111111</v>
      </c>
      <c r="V66" s="206">
        <f t="shared" si="4"/>
        <v>0.49305555555555558</v>
      </c>
    </row>
    <row r="67" spans="2:22" ht="34.950000000000003" customHeight="1" x14ac:dyDescent="0.3">
      <c r="B67" s="51" t="str">
        <f t="shared" si="34"/>
        <v>Rabu</v>
      </c>
      <c r="C67" s="51">
        <v>0.4236111111111111</v>
      </c>
      <c r="D67" s="51" t="str">
        <f t="shared" ref="D67" si="38">IF(C67="","","s/d")</f>
        <v>s/d</v>
      </c>
      <c r="E67" s="51">
        <f t="shared" ref="E67" si="39">IF(O67="","",(IF(O67=4,C67+TIME(0,2*50,0),C67+TIME(0,O67*50,0))))</f>
        <v>0.49305555555555558</v>
      </c>
      <c r="F67" s="101" t="s">
        <v>526</v>
      </c>
      <c r="G67" s="115" t="s">
        <v>394</v>
      </c>
      <c r="H67" s="52" t="str">
        <f>IF(F67="","",VLOOKUP(F67,'SELECT KELAS GENAP'!C$8:N$181,2,FALSE))</f>
        <v>UMG-55201-102</v>
      </c>
      <c r="I67" s="98" t="str">
        <f>IF(F67="","",VLOOKUP(F67,'SELECT KELAS GENAP'!C$8:N$175,3,FALSE))</f>
        <v>Bahasa Indonesia</v>
      </c>
      <c r="J67" s="52" t="str">
        <f>IF(F67="","",VLOOKUP(F67,'SELECT KELAS GENAP'!C$8:N$181,12,FALSE))</f>
        <v>MKU</v>
      </c>
      <c r="K67" s="237" t="str">
        <f>IF(F67="","",VLOOKUP(F67,'SELECT KELAS GENAP'!C$8:N$181,8,FALSE))</f>
        <v>MKU</v>
      </c>
      <c r="L67" s="237" t="str">
        <f>IF(F67="","",VLOOKUP(F67,'SELECT KELAS GENAP'!C$8:N$181,10,FALSE))</f>
        <v>-</v>
      </c>
      <c r="M67" s="52" t="str">
        <f>IF(F67="","",VLOOKUP(F67,'SELECT KELAS GENAP'!C$8:N$181,6,FALSE))</f>
        <v>A</v>
      </c>
      <c r="N67" s="52">
        <f>IF(F67="","",VLOOKUP(F67,'SELECT KELAS GENAP'!C$8:N$181,4,FALSE))</f>
        <v>2</v>
      </c>
      <c r="O67" s="52">
        <f>IF(F67="","",VLOOKUP(F67,'SELECT KELAS GENAP'!C$8:N$181,5,FALSE))</f>
        <v>2</v>
      </c>
      <c r="P67" s="52">
        <f>IF(F67="","",VLOOKUP(F67,'SELECT KELAS GENAP'!C$8:W$181,21,FALSE))</f>
        <v>28</v>
      </c>
      <c r="Q67" s="52" t="str">
        <f>IF(F67="","",VLOOKUP(F67,'SELECT KELAS GENAP'!C$8:N$181,7,FALSE))</f>
        <v>MKU</v>
      </c>
      <c r="R67" s="52" t="str">
        <f>IF(F67="","",VLOOKUP(F67,'SELECT KELAS GENAP'!C$8:N$181,9,FALSE))</f>
        <v>None</v>
      </c>
      <c r="S67" s="98" t="str">
        <f>IF(F67="","",VLOOKUP(F67,'SELECT KELAS GENAP'!C$8:N$181,11,FALSE))</f>
        <v>MKU</v>
      </c>
      <c r="T67" s="52"/>
      <c r="U67" s="206">
        <f t="shared" si="8"/>
        <v>0.4236111111111111</v>
      </c>
      <c r="V67" s="206">
        <f t="shared" si="4"/>
        <v>0.49305555555555558</v>
      </c>
    </row>
    <row r="68" spans="2:22" ht="34.950000000000003" customHeight="1" x14ac:dyDescent="0.3">
      <c r="B68" s="51" t="str">
        <f t="shared" si="34"/>
        <v>Rabu</v>
      </c>
      <c r="C68" s="51">
        <v>0.4236111111111111</v>
      </c>
      <c r="D68" s="51" t="str">
        <f t="shared" ref="D68:D69" si="40">IF(C68="","","s/d")</f>
        <v>s/d</v>
      </c>
      <c r="E68" s="51">
        <f t="shared" ref="E68:E69" si="41">IF(O68="","",(IF(O68=4,C68+TIME(0,2*50,0),C68+TIME(0,O68*50,0))))</f>
        <v>0.49305555555555558</v>
      </c>
      <c r="F68" s="101" t="s">
        <v>523</v>
      </c>
      <c r="G68" s="115"/>
      <c r="H68" s="52" t="str">
        <f>IF(F68="","",VLOOKUP(F68,'SELECT KELAS GENAP'!C$8:N$181,2,FALSE))</f>
        <v>UMG-55201-104</v>
      </c>
      <c r="I68" s="98" t="str">
        <f>IF(F68="","",VLOOKUP(F68,'SELECT KELAS GENAP'!C$8:N$175,3,FALSE))</f>
        <v>Kewarganegaraan</v>
      </c>
      <c r="J68" s="52" t="str">
        <f>IF(F68="","",VLOOKUP(F68,'SELECT KELAS GENAP'!C$8:N$181,12,FALSE))</f>
        <v>MKU</v>
      </c>
      <c r="K68" s="237" t="str">
        <f>IF(F68="","",VLOOKUP(F68,'SELECT KELAS GENAP'!C$8:N$181,8,FALSE))</f>
        <v>MKU</v>
      </c>
      <c r="L68" s="237" t="str">
        <f>IF(F68="","",VLOOKUP(F68,'SELECT KELAS GENAP'!C$8:N$181,10,FALSE))</f>
        <v>-</v>
      </c>
      <c r="M68" s="52" t="str">
        <f>IF(F68="","",VLOOKUP(F68,'SELECT KELAS GENAP'!C$8:N$181,6,FALSE))</f>
        <v>B</v>
      </c>
      <c r="N68" s="52">
        <f>IF(F68="","",VLOOKUP(F68,'SELECT KELAS GENAP'!C$8:N$181,4,FALSE))</f>
        <v>2</v>
      </c>
      <c r="O68" s="52">
        <f>IF(F68="","",VLOOKUP(F68,'SELECT KELAS GENAP'!C$8:N$181,5,FALSE))</f>
        <v>2</v>
      </c>
      <c r="P68" s="52">
        <f>IF(F68="","",VLOOKUP(F68,'SELECT KELAS GENAP'!C$8:W$181,21,FALSE))</f>
        <v>28</v>
      </c>
      <c r="Q68" s="52" t="str">
        <f>IF(F68="","",VLOOKUP(F68,'SELECT KELAS GENAP'!C$8:N$181,7,FALSE))</f>
        <v>MKU</v>
      </c>
      <c r="R68" s="52" t="str">
        <f>IF(F68="","",VLOOKUP(F68,'SELECT KELAS GENAP'!C$8:N$181,9,FALSE))</f>
        <v>None</v>
      </c>
      <c r="S68" s="98" t="str">
        <f>IF(F68="","",VLOOKUP(F68,'SELECT KELAS GENAP'!C$8:N$181,11,FALSE))</f>
        <v>MKU</v>
      </c>
      <c r="T68" s="52"/>
      <c r="U68" s="206"/>
      <c r="V68" s="206"/>
    </row>
    <row r="69" spans="2:22" ht="34.950000000000003" customHeight="1" x14ac:dyDescent="0.3">
      <c r="B69" s="51" t="str">
        <f t="shared" si="34"/>
        <v>Rabu</v>
      </c>
      <c r="C69" s="51">
        <v>0.4236111111111111</v>
      </c>
      <c r="D69" s="51" t="str">
        <f t="shared" si="40"/>
        <v>s/d</v>
      </c>
      <c r="E69" s="51">
        <f t="shared" si="41"/>
        <v>0.49305555555555558</v>
      </c>
      <c r="F69" s="101" t="s">
        <v>520</v>
      </c>
      <c r="G69" s="115"/>
      <c r="H69" s="52" t="str">
        <f>IF(F69="","",VLOOKUP(F69,'SELECT KELAS GENAP'!C$8:N$181,2,FALSE))</f>
        <v>UMG-55201-104</v>
      </c>
      <c r="I69" s="98" t="str">
        <f>IF(F69="","",VLOOKUP(F69,'SELECT KELAS GENAP'!C$8:N$175,3,FALSE))</f>
        <v>Kewarganegaraan</v>
      </c>
      <c r="J69" s="52" t="str">
        <f>IF(F69="","",VLOOKUP(F69,'SELECT KELAS GENAP'!C$8:N$181,12,FALSE))</f>
        <v>MKU</v>
      </c>
      <c r="K69" s="237" t="str">
        <f>IF(F69="","",VLOOKUP(F69,'SELECT KELAS GENAP'!C$8:N$181,8,FALSE))</f>
        <v>MKU</v>
      </c>
      <c r="L69" s="237" t="str">
        <f>IF(F69="","",VLOOKUP(F69,'SELECT KELAS GENAP'!C$8:N$181,10,FALSE))</f>
        <v>-</v>
      </c>
      <c r="M69" s="52" t="str">
        <f>IF(F69="","",VLOOKUP(F69,'SELECT KELAS GENAP'!C$8:N$181,6,FALSE))</f>
        <v>D</v>
      </c>
      <c r="N69" s="52">
        <f>IF(F69="","",VLOOKUP(F69,'SELECT KELAS GENAP'!C$8:N$181,4,FALSE))</f>
        <v>2</v>
      </c>
      <c r="O69" s="52">
        <f>IF(F69="","",VLOOKUP(F69,'SELECT KELAS GENAP'!C$8:N$181,5,FALSE))</f>
        <v>2</v>
      </c>
      <c r="P69" s="52">
        <f>IF(F69="","",VLOOKUP(F69,'SELECT KELAS GENAP'!C$8:W$181,21,FALSE))</f>
        <v>28</v>
      </c>
      <c r="Q69" s="52" t="str">
        <f>IF(F69="","",VLOOKUP(F69,'SELECT KELAS GENAP'!C$8:N$181,7,FALSE))</f>
        <v>MKU</v>
      </c>
      <c r="R69" s="52" t="str">
        <f>IF(F69="","",VLOOKUP(F69,'SELECT KELAS GENAP'!C$8:N$181,9,FALSE))</f>
        <v>None</v>
      </c>
      <c r="S69" s="98" t="str">
        <f>IF(F69="","",VLOOKUP(F69,'SELECT KELAS GENAP'!C$8:N$181,11,FALSE))</f>
        <v>MKU</v>
      </c>
      <c r="T69" s="52"/>
      <c r="U69" s="206"/>
      <c r="V69" s="206"/>
    </row>
    <row r="70" spans="2:22" ht="34.950000000000003" customHeight="1" x14ac:dyDescent="0.3">
      <c r="B70" s="51"/>
      <c r="C70" s="51"/>
      <c r="D70" s="51"/>
      <c r="E70" s="51"/>
      <c r="F70" s="101"/>
      <c r="G70" s="115"/>
      <c r="H70" s="52"/>
      <c r="I70" s="98"/>
      <c r="J70" s="52"/>
      <c r="K70" s="237"/>
      <c r="L70" s="237"/>
      <c r="M70" s="52"/>
      <c r="N70" s="52"/>
      <c r="O70" s="52"/>
      <c r="P70" s="52"/>
      <c r="Q70" s="52"/>
      <c r="R70" s="52"/>
      <c r="S70" s="98"/>
      <c r="T70" s="52"/>
      <c r="U70" s="206"/>
      <c r="V70" s="206"/>
    </row>
    <row r="71" spans="2:22" ht="34.950000000000003" customHeight="1" x14ac:dyDescent="0.3">
      <c r="B71" s="51" t="str">
        <f t="shared" si="34"/>
        <v>Rabu</v>
      </c>
      <c r="C71" s="51">
        <v>0.53125</v>
      </c>
      <c r="D71" s="51" t="str">
        <f t="shared" si="3"/>
        <v>s/d</v>
      </c>
      <c r="E71" s="51">
        <f t="shared" si="37"/>
        <v>0.60069444444444442</v>
      </c>
      <c r="F71" s="101" t="s">
        <v>547</v>
      </c>
      <c r="G71" s="115" t="s">
        <v>394</v>
      </c>
      <c r="H71" s="52" t="str">
        <f>IF(F71="","",VLOOKUP(F71,'SELECT KELAS GENAP'!C$8:N$181,2,FALSE))</f>
        <v>INF-55201-109</v>
      </c>
      <c r="I71" s="235" t="str">
        <f>IF(F71="","",VLOOKUP(F71,'SELECT KELAS GENAP'!C$8:N$175,3,FALSE))</f>
        <v>Struktur  Data  dan Algoritma*</v>
      </c>
      <c r="J71" s="52" t="str">
        <f>IF(F71="","",VLOOKUP(F71,'SELECT KELAS GENAP'!C$8:N$181,12,FALSE))</f>
        <v>TZ / FA</v>
      </c>
      <c r="K71" s="237" t="str">
        <f>IF(F71="","",VLOOKUP(F71,'SELECT KELAS GENAP'!C$8:N$181,8,FALSE))</f>
        <v>TZ</v>
      </c>
      <c r="L71" s="237" t="str">
        <f>IF(F71="","",VLOOKUP(F71,'SELECT KELAS GENAP'!C$8:N$181,10,FALSE))</f>
        <v>FA</v>
      </c>
      <c r="M71" s="52" t="str">
        <f>IF(F71="","",VLOOKUP(F71,'SELECT KELAS GENAP'!C$8:N$181,6,FALSE))</f>
        <v>C</v>
      </c>
      <c r="N71" s="52">
        <f>IF(F71="","",VLOOKUP(F71,'SELECT KELAS GENAP'!C$8:N$181,4,FALSE))</f>
        <v>2</v>
      </c>
      <c r="O71" s="52">
        <f>IF(F71="","",VLOOKUP(F71,'SELECT KELAS GENAP'!C$8:N$181,5,FALSE))</f>
        <v>4</v>
      </c>
      <c r="P71" s="52">
        <f>IF(F71="","",VLOOKUP(F71,'SELECT KELAS GENAP'!C$8:W$181,21,FALSE))</f>
        <v>35</v>
      </c>
      <c r="Q71" s="52" t="str">
        <f>IF(F71="","",VLOOKUP(F71,'SELECT KELAS GENAP'!C$8:N$181,7,FALSE))</f>
        <v>Morteza Muthahhari, S.Kom., M.T.I</v>
      </c>
      <c r="R71" s="52" t="str">
        <f>IF(F71="","",VLOOKUP(F71,'SELECT KELAS GENAP'!C$8:N$181,9,FALSE))</f>
        <v>Fauzan Asrin, S.Kom, M. Kom.</v>
      </c>
      <c r="S71" s="98" t="str">
        <f>IF(F71="","",VLOOKUP(F71,'SELECT KELAS GENAP'!C$8:N$181,11,FALSE))</f>
        <v>Morteza Muthahhari, S.Kom., M.T.I / Fauzan Asrin, S.Kom, M. Kom.</v>
      </c>
      <c r="T71" s="52"/>
      <c r="U71" s="206">
        <f t="shared" si="8"/>
        <v>0.53125</v>
      </c>
      <c r="V71" s="206">
        <f t="shared" si="4"/>
        <v>0.60069444444444442</v>
      </c>
    </row>
    <row r="72" spans="2:22" ht="34.950000000000003" customHeight="1" x14ac:dyDescent="0.3">
      <c r="B72" s="51" t="str">
        <f t="shared" si="34"/>
        <v>Rabu</v>
      </c>
      <c r="C72" s="51">
        <v>0.53125</v>
      </c>
      <c r="D72" s="51" t="str">
        <f t="shared" si="3"/>
        <v>s/d</v>
      </c>
      <c r="E72" s="51">
        <f t="shared" si="37"/>
        <v>0.60069444444444442</v>
      </c>
      <c r="F72" s="101" t="s">
        <v>565</v>
      </c>
      <c r="G72" s="115" t="s">
        <v>394</v>
      </c>
      <c r="H72" s="52" t="str">
        <f>IF(F72="","",VLOOKUP(F72,'SELECT KELAS GENAP'!C$8:N$181,2,FALSE))</f>
        <v>INF-55201-208</v>
      </c>
      <c r="I72" s="235" t="str">
        <f>IF(F72="","",VLOOKUP(F72,'SELECT KELAS GENAP'!C$8:N$175,3,FALSE))</f>
        <v>Manajemen Basis Data*</v>
      </c>
      <c r="J72" s="52" t="str">
        <f>IF(F72="","",VLOOKUP(F72,'SELECT KELAS GENAP'!C$8:N$181,12,FALSE))</f>
        <v>HSP / HN</v>
      </c>
      <c r="K72" s="237" t="str">
        <f>IF(F72="","",VLOOKUP(F72,'SELECT KELAS GENAP'!C$8:N$181,8,FALSE))</f>
        <v>HSP</v>
      </c>
      <c r="L72" s="237" t="str">
        <f>IF(F72="","",VLOOKUP(F72,'SELECT KELAS GENAP'!C$8:N$181,10,FALSE))</f>
        <v>HN</v>
      </c>
      <c r="M72" s="52" t="str">
        <f>IF(F72="","",VLOOKUP(F72,'SELECT KELAS GENAP'!C$8:N$181,6,FALSE))</f>
        <v>A</v>
      </c>
      <c r="N72" s="52">
        <f>IF(F72="","",VLOOKUP(F72,'SELECT KELAS GENAP'!C$8:N$181,4,FALSE))</f>
        <v>4</v>
      </c>
      <c r="O72" s="52">
        <f>IF(F72="","",VLOOKUP(F72,'SELECT KELAS GENAP'!C$8:N$181,5,FALSE))</f>
        <v>4</v>
      </c>
      <c r="P72" s="52">
        <f>IF(F72="","",VLOOKUP(F72,'SELECT KELAS GENAP'!C$8:W$181,21,FALSE))</f>
        <v>35</v>
      </c>
      <c r="Q72" s="52" t="str">
        <f>IF(F72="","",VLOOKUP(F72,'SELECT KELAS GENAP'!C$8:N$181,7,FALSE))</f>
        <v>Helen Sastypratiwi, S.T., M.Eng</v>
      </c>
      <c r="R72" s="52" t="str">
        <f>IF(F72="","",VLOOKUP(F72,'SELECT KELAS GENAP'!C$8:N$181,9,FALSE))</f>
        <v>Haried Novriando, S.Kom, M.Eng</v>
      </c>
      <c r="S72" s="98" t="str">
        <f>IF(F72="","",VLOOKUP(F72,'SELECT KELAS GENAP'!C$8:N$181,11,FALSE))</f>
        <v>Helen Sastypratiwi, S.T., M.Eng / Haried Novriando, S.Kom, M.Eng</v>
      </c>
      <c r="T72" s="52"/>
      <c r="U72" s="206">
        <f t="shared" si="8"/>
        <v>0.53125</v>
      </c>
      <c r="V72" s="206">
        <f t="shared" si="4"/>
        <v>0.60069444444444442</v>
      </c>
    </row>
    <row r="73" spans="2:22" ht="34.950000000000003" customHeight="1" x14ac:dyDescent="0.3">
      <c r="B73" s="51" t="str">
        <f t="shared" si="34"/>
        <v>Rabu</v>
      </c>
      <c r="C73" s="51">
        <v>0.53125</v>
      </c>
      <c r="D73" s="51" t="str">
        <f t="shared" si="3"/>
        <v>s/d</v>
      </c>
      <c r="E73" s="51">
        <f t="shared" si="37"/>
        <v>0.60069444444444442</v>
      </c>
      <c r="F73" s="101" t="s">
        <v>616</v>
      </c>
      <c r="G73" s="115" t="s">
        <v>394</v>
      </c>
      <c r="H73" s="52" t="str">
        <f>IF(F73="","",VLOOKUP(F73,'SELECT KELAS GENAP'!C$8:N$181,2,FALSE))</f>
        <v>INF-55201-211</v>
      </c>
      <c r="I73" s="235" t="str">
        <f>IF(F73="","",VLOOKUP(F73,'SELECT KELAS GENAP'!C$8:N$175,3,FALSE))</f>
        <v>Pemrograman  Berorientasi  Objek * </v>
      </c>
      <c r="J73" s="52" t="str">
        <f>IF(F73="","",VLOOKUP(F73,'SELECT KELAS GENAP'!C$8:N$181,12,FALSE))</f>
        <v>NS / KH</v>
      </c>
      <c r="K73" s="237" t="str">
        <f>IF(F73="","",VLOOKUP(F73,'SELECT KELAS GENAP'!C$8:N$181,8,FALSE))</f>
        <v>NS</v>
      </c>
      <c r="L73" s="237" t="str">
        <f>IF(F73="","",VLOOKUP(F73,'SELECT KELAS GENAP'!C$8:N$181,10,FALSE))</f>
        <v>KH</v>
      </c>
      <c r="M73" s="52" t="str">
        <f>IF(F73="","",VLOOKUP(F73,'SELECT KELAS GENAP'!C$8:N$181,6,FALSE))</f>
        <v>C</v>
      </c>
      <c r="N73" s="52">
        <f>IF(F73="","",VLOOKUP(F73,'SELECT KELAS GENAP'!C$8:N$181,4,FALSE))</f>
        <v>4</v>
      </c>
      <c r="O73" s="52">
        <f>IF(F73="","",VLOOKUP(F73,'SELECT KELAS GENAP'!C$8:N$181,5,FALSE))</f>
        <v>4</v>
      </c>
      <c r="P73" s="52">
        <f>IF(F73="","",VLOOKUP(F73,'SELECT KELAS GENAP'!C$8:W$181,21,FALSE))</f>
        <v>35</v>
      </c>
      <c r="Q73" s="52" t="str">
        <f>IF(F73="","",VLOOKUP(F73,'SELECT KELAS GENAP'!C$8:N$181,7,FALSE))</f>
        <v>Novi Safriadi, S.T., M.T.</v>
      </c>
      <c r="R73" s="52" t="str">
        <f>IF(F73="","",VLOOKUP(F73,'SELECT KELAS GENAP'!C$8:N$181,9,FALSE))</f>
        <v>Khairul Hafidh, S.T., M.Kom.</v>
      </c>
      <c r="S73" s="98" t="str">
        <f>IF(F73="","",VLOOKUP(F73,'SELECT KELAS GENAP'!C$8:N$181,11,FALSE))</f>
        <v>Novi Safriadi, S.T., M.T. / Khairul Hafidh, S.T., M.Kom.</v>
      </c>
      <c r="T73" s="52"/>
      <c r="U73" s="206">
        <f t="shared" si="8"/>
        <v>0.53125</v>
      </c>
      <c r="V73" s="206">
        <f t="shared" si="4"/>
        <v>0.60069444444444442</v>
      </c>
    </row>
    <row r="74" spans="2:22" ht="34.950000000000003" customHeight="1" x14ac:dyDescent="0.3">
      <c r="B74" s="51" t="str">
        <f t="shared" si="34"/>
        <v>Rabu</v>
      </c>
      <c r="C74" s="51">
        <v>0.53125</v>
      </c>
      <c r="D74" s="51" t="str">
        <f t="shared" si="3"/>
        <v>s/d</v>
      </c>
      <c r="E74" s="51">
        <f t="shared" si="37"/>
        <v>0.60069444444444442</v>
      </c>
      <c r="F74" s="101" t="s">
        <v>583</v>
      </c>
      <c r="G74" s="115" t="s">
        <v>394</v>
      </c>
      <c r="H74" s="52" t="str">
        <f>IF(F74="","",VLOOKUP(F74,'SELECT KELAS GENAP'!C$8:N$181,2,FALSE))</f>
        <v xml:space="preserve"> INF-55201-316</v>
      </c>
      <c r="I74" s="235" t="str">
        <f>IF(F74="","",VLOOKUP(F74,'SELECT KELAS GENAP'!C$8:N$175,3,FALSE))</f>
        <v>Proyek Perangkat  Lunak*</v>
      </c>
      <c r="J74" s="52" t="str">
        <f>IF(F74="","",VLOOKUP(F74,'SELECT KELAS GENAP'!C$8:N$181,12,FALSE))</f>
        <v>AP / DIU</v>
      </c>
      <c r="K74" s="237" t="str">
        <f>IF(F74="","",VLOOKUP(F74,'SELECT KELAS GENAP'!C$8:N$181,8,FALSE))</f>
        <v>AP</v>
      </c>
      <c r="L74" s="237" t="str">
        <f>IF(F74="","",VLOOKUP(F74,'SELECT KELAS GENAP'!C$8:N$181,10,FALSE))</f>
        <v>DIU</v>
      </c>
      <c r="M74" s="52" t="str">
        <f>IF(F74="","",VLOOKUP(F74,'SELECT KELAS GENAP'!C$8:N$181,6,FALSE))</f>
        <v>A</v>
      </c>
      <c r="N74" s="52">
        <f>IF(F74="","",VLOOKUP(F74,'SELECT KELAS GENAP'!C$8:N$181,4,FALSE))</f>
        <v>6</v>
      </c>
      <c r="O74" s="52">
        <f>IF(F74="","",VLOOKUP(F74,'SELECT KELAS GENAP'!C$8:N$181,5,FALSE))</f>
        <v>4</v>
      </c>
      <c r="P74" s="52">
        <f>IF(F74="","",VLOOKUP(F74,'SELECT KELAS GENAP'!C$8:W$181,21,FALSE))</f>
        <v>35</v>
      </c>
      <c r="Q74" s="52" t="str">
        <f>IF(F74="","",VLOOKUP(F74,'SELECT KELAS GENAP'!C$8:N$181,7,FALSE))</f>
        <v>Anggi Perwitasari, S.T., M.T.</v>
      </c>
      <c r="R74" s="52" t="str">
        <f>IF(F74="","",VLOOKUP(F74,'SELECT KELAS GENAP'!C$8:N$181,9,FALSE))</f>
        <v>Desepta Isna Ulumi, S.Kom, M.Kom.</v>
      </c>
      <c r="S74" s="98" t="str">
        <f>IF(F74="","",VLOOKUP(F74,'SELECT KELAS GENAP'!C$8:N$181,11,FALSE))</f>
        <v>Anggi Perwitasari, S.T., M.T. / Desepta Isna Ulumi, S.Kom, M.Kom.</v>
      </c>
      <c r="T74" s="52"/>
      <c r="U74" s="206">
        <f t="shared" si="8"/>
        <v>0.53125</v>
      </c>
      <c r="V74" s="206">
        <f t="shared" si="4"/>
        <v>0.60069444444444442</v>
      </c>
    </row>
    <row r="75" spans="2:22" ht="34.950000000000003" customHeight="1" x14ac:dyDescent="0.3">
      <c r="B75" s="51" t="str">
        <f t="shared" si="34"/>
        <v/>
      </c>
      <c r="C75" s="51"/>
      <c r="D75" s="51" t="str">
        <f t="shared" ref="D75" si="42">IF(C75="","","s/d")</f>
        <v/>
      </c>
      <c r="E75" s="51" t="str">
        <f t="shared" ref="E75:E76" si="43">IF(O75="","",(IF(O75=4,C75+TIME(0,2*50,0),C75+TIME(0,O75*50,0))))</f>
        <v/>
      </c>
      <c r="F75" s="101"/>
      <c r="G75" s="115"/>
      <c r="H75" s="52" t="str">
        <f>IF(F75="","",VLOOKUP(F75,'SELECT KELAS GENAP'!C$8:N$181,2,FALSE))</f>
        <v/>
      </c>
      <c r="I75" s="98" t="str">
        <f>IF(F75="","",VLOOKUP(F75,'SELECT KELAS GENAP'!C$8:N$175,3,FALSE))</f>
        <v/>
      </c>
      <c r="J75" s="52" t="str">
        <f>IF(F75="","",VLOOKUP(F75,'SELECT KELAS GENAP'!C$8:N$181,12,FALSE))</f>
        <v/>
      </c>
      <c r="K75" s="237" t="str">
        <f>IF(F75="","",VLOOKUP(F75,'SELECT KELAS GENAP'!C$8:N$181,8,FALSE))</f>
        <v/>
      </c>
      <c r="L75" s="237" t="str">
        <f>IF(F75="","",VLOOKUP(F75,'SELECT KELAS GENAP'!C$8:N$181,10,FALSE))</f>
        <v/>
      </c>
      <c r="M75" s="52" t="str">
        <f>IF(F75="","",VLOOKUP(F75,'SELECT KELAS GENAP'!C$8:N$181,6,FALSE))</f>
        <v/>
      </c>
      <c r="N75" s="52" t="str">
        <f>IF(F75="","",VLOOKUP(F75,'SELECT KELAS GENAP'!C$8:N$181,4,FALSE))</f>
        <v/>
      </c>
      <c r="O75" s="52" t="str">
        <f>IF(F75="","",VLOOKUP(F75,'SELECT KELAS GENAP'!C$8:N$181,5,FALSE))</f>
        <v/>
      </c>
      <c r="P75" s="52" t="str">
        <f>IF(F75="","",VLOOKUP(F75,'SELECT KELAS GENAP'!C$8:W$181,21,FALSE))</f>
        <v/>
      </c>
      <c r="Q75" s="52" t="str">
        <f>IF(F75="","",VLOOKUP(F75,'SELECT KELAS GENAP'!C$8:N$181,7,FALSE))</f>
        <v/>
      </c>
      <c r="R75" s="52" t="str">
        <f>IF(F75="","",VLOOKUP(F75,'SELECT KELAS GENAP'!C$8:N$181,9,FALSE))</f>
        <v/>
      </c>
      <c r="S75" s="98" t="str">
        <f>IF(F75="","",VLOOKUP(F75,'SELECT KELAS GENAP'!C$8:N$181,11,FALSE))</f>
        <v/>
      </c>
      <c r="T75" s="52"/>
      <c r="U75" s="206">
        <f t="shared" ref="U75:U77" si="44">C75</f>
        <v>0</v>
      </c>
      <c r="V75" s="206" t="str">
        <f t="shared" ref="V75:V126" si="45">E75</f>
        <v/>
      </c>
    </row>
    <row r="76" spans="2:22" ht="34.950000000000003" customHeight="1" x14ac:dyDescent="0.3">
      <c r="B76" s="51" t="str">
        <f t="shared" si="34"/>
        <v>Rabu</v>
      </c>
      <c r="C76" s="51">
        <v>0.60763888888888895</v>
      </c>
      <c r="D76" s="51" t="str">
        <f t="shared" si="3"/>
        <v>s/d</v>
      </c>
      <c r="E76" s="51">
        <f t="shared" si="43"/>
        <v>0.71180555555555558</v>
      </c>
      <c r="F76" s="101" t="s">
        <v>513</v>
      </c>
      <c r="G76" s="115" t="s">
        <v>394</v>
      </c>
      <c r="H76" s="52" t="str">
        <f>IF(F76="","",VLOOKUP(F76,'SELECT KELAS GENAP'!C$8:N$181,2,FALSE))</f>
        <v>INF-55201-107</v>
      </c>
      <c r="I76" s="240" t="str">
        <f>IF(F76="","",VLOOKUP(F76,'SELECT KELAS GENAP'!C$8:N$175,3,FALSE))</f>
        <v>Organisasi  dan Arsitektur Komputer  </v>
      </c>
      <c r="J76" s="52" t="str">
        <f>IF(F76="","",VLOOKUP(F76,'SELECT KELAS GENAP'!C$8:N$181,12,FALSE))</f>
        <v>TZ / AAJ</v>
      </c>
      <c r="K76" s="237" t="str">
        <f>IF(F76="","",VLOOKUP(F76,'SELECT KELAS GENAP'!C$8:N$181,8,FALSE))</f>
        <v>TZ</v>
      </c>
      <c r="L76" s="237" t="str">
        <f>IF(F76="","",VLOOKUP(F76,'SELECT KELAS GENAP'!C$8:N$181,10,FALSE))</f>
        <v>AAJ</v>
      </c>
      <c r="M76" s="52" t="str">
        <f>IF(F76="","",VLOOKUP(F76,'SELECT KELAS GENAP'!C$8:N$181,6,FALSE))</f>
        <v>C</v>
      </c>
      <c r="N76" s="52">
        <f>IF(F76="","",VLOOKUP(F76,'SELECT KELAS GENAP'!C$8:N$181,4,FALSE))</f>
        <v>2</v>
      </c>
      <c r="O76" s="52">
        <f>IF(F76="","",VLOOKUP(F76,'SELECT KELAS GENAP'!C$8:N$181,5,FALSE))</f>
        <v>3</v>
      </c>
      <c r="P76" s="52">
        <f>IF(F76="","",VLOOKUP(F76,'SELECT KELAS GENAP'!C$8:W$181,21,FALSE))</f>
        <v>28</v>
      </c>
      <c r="Q76" s="52" t="str">
        <f>IF(F76="","",VLOOKUP(F76,'SELECT KELAS GENAP'!C$8:N$181,7,FALSE))</f>
        <v>Morteza Muthahhari, S.Kom., M.T.I</v>
      </c>
      <c r="R76" s="52" t="str">
        <f>IF(F76="","",VLOOKUP(F76,'SELECT KELAS GENAP'!C$8:N$181,9,FALSE))</f>
        <v>Alfian Abdul Jalid, S.Kom., M.Cs.</v>
      </c>
      <c r="S76" s="98" t="str">
        <f>IF(F76="","",VLOOKUP(F76,'SELECT KELAS GENAP'!C$8:N$181,11,FALSE))</f>
        <v>Morteza Muthahhari, S.Kom., M.T.I / Alfian Abdul Jalid, S.Kom., M.Cs.</v>
      </c>
      <c r="T76" s="52"/>
      <c r="U76" s="206">
        <f t="shared" si="44"/>
        <v>0.60763888888888895</v>
      </c>
      <c r="V76" s="206">
        <f t="shared" si="45"/>
        <v>0.71180555555555558</v>
      </c>
    </row>
    <row r="77" spans="2:22" ht="34.950000000000003" customHeight="1" x14ac:dyDescent="0.3">
      <c r="B77" s="51" t="str">
        <f t="shared" si="34"/>
        <v>Rabu</v>
      </c>
      <c r="C77" s="51">
        <v>0.60763888888888895</v>
      </c>
      <c r="D77" s="51" t="str">
        <f t="shared" si="3"/>
        <v>s/d</v>
      </c>
      <c r="E77" s="51">
        <f t="shared" si="37"/>
        <v>0.71180555555555558</v>
      </c>
      <c r="F77" s="101" t="s">
        <v>584</v>
      </c>
      <c r="G77" s="115" t="s">
        <v>394</v>
      </c>
      <c r="H77" s="52" t="str">
        <f>IF(F77="","",VLOOKUP(F77,'SELECT KELAS GENAP'!C$8:N$181,2,FALSE))</f>
        <v>INF-55201-105</v>
      </c>
      <c r="I77" s="240" t="str">
        <f>IF(F77="","",VLOOKUP(F77,'SELECT KELAS GENAP'!C$8:N$175,3,FALSE))</f>
        <v>Probabilitas  dan  Statistik  </v>
      </c>
      <c r="J77" s="52" t="str">
        <f>IF(F77="","",VLOOKUP(F77,'SELECT KELAS GENAP'!C$8:N$181,12,FALSE))</f>
        <v>HSP / RS</v>
      </c>
      <c r="K77" s="237" t="str">
        <f>IF(F77="","",VLOOKUP(F77,'SELECT KELAS GENAP'!C$8:N$181,8,FALSE))</f>
        <v>HSP</v>
      </c>
      <c r="L77" s="237" t="str">
        <f>IF(F77="","",VLOOKUP(F77,'SELECT KELAS GENAP'!C$8:N$181,10,FALSE))</f>
        <v>RS</v>
      </c>
      <c r="M77" s="52" t="str">
        <f>IF(F77="","",VLOOKUP(F77,'SELECT KELAS GENAP'!C$8:N$181,6,FALSE))</f>
        <v>A</v>
      </c>
      <c r="N77" s="52">
        <f>IF(F77="","",VLOOKUP(F77,'SELECT KELAS GENAP'!C$8:N$181,4,FALSE))</f>
        <v>2</v>
      </c>
      <c r="O77" s="52">
        <f>IF(F77="","",VLOOKUP(F77,'SELECT KELAS GENAP'!C$8:N$181,5,FALSE))</f>
        <v>3</v>
      </c>
      <c r="P77" s="52">
        <f>IF(F77="","",VLOOKUP(F77,'SELECT KELAS GENAP'!C$8:W$181,21,FALSE))</f>
        <v>28</v>
      </c>
      <c r="Q77" s="52" t="str">
        <f>IF(F77="","",VLOOKUP(F77,'SELECT KELAS GENAP'!C$8:N$181,7,FALSE))</f>
        <v>Helen Sastypratiwi, S.T., M.Eng</v>
      </c>
      <c r="R77" s="52" t="str">
        <f>IF(F77="","",VLOOKUP(F77,'SELECT KELAS GENAP'!C$8:N$181,9,FALSE))</f>
        <v>Rina Septiriana, S.T., M.Cs.</v>
      </c>
      <c r="S77" s="98" t="str">
        <f>IF(F77="","",VLOOKUP(F77,'SELECT KELAS GENAP'!C$8:N$181,11,FALSE))</f>
        <v>Helen Sastypratiwi, S.T., M.Eng / Rina Septiriana, S.T., M.Cs.</v>
      </c>
      <c r="T77" s="52"/>
      <c r="U77" s="206">
        <f t="shared" si="44"/>
        <v>0.60763888888888895</v>
      </c>
      <c r="V77" s="206">
        <f t="shared" si="45"/>
        <v>0.71180555555555558</v>
      </c>
    </row>
    <row r="78" spans="2:22" ht="34.950000000000003" customHeight="1" x14ac:dyDescent="0.3">
      <c r="B78" s="51" t="str">
        <f t="shared" si="34"/>
        <v>Rabu</v>
      </c>
      <c r="C78" s="51">
        <v>0.60763888888888895</v>
      </c>
      <c r="D78" s="51" t="str">
        <f t="shared" si="3"/>
        <v>s/d</v>
      </c>
      <c r="E78" s="51">
        <f t="shared" si="37"/>
        <v>0.71180555555555558</v>
      </c>
      <c r="F78" s="101" t="s">
        <v>518</v>
      </c>
      <c r="G78" s="115" t="s">
        <v>394</v>
      </c>
      <c r="H78" s="52" t="str">
        <f>IF(F78="","",VLOOKUP(F78,'SELECT KELAS GENAP'!C$8:N$181,2,FALSE))</f>
        <v>INF-55201-210</v>
      </c>
      <c r="I78" s="240" t="str">
        <f>IF(F78="","",VLOOKUP(F78,'SELECT KELAS GENAP'!C$8:N$175,3,FALSE))</f>
        <v>Sistem Paralel dan Terdistribusi</v>
      </c>
      <c r="J78" s="52" t="str">
        <f>IF(F78="","",VLOOKUP(F78,'SELECT KELAS GENAP'!C$8:N$181,12,FALSE))</f>
        <v>HLN</v>
      </c>
      <c r="K78" s="237" t="str">
        <f>IF(F78="","",VLOOKUP(F78,'SELECT KELAS GENAP'!C$8:N$181,8,FALSE))</f>
        <v>HLN</v>
      </c>
      <c r="L78" s="237" t="str">
        <f>IF(F78="","",VLOOKUP(F78,'SELECT KELAS GENAP'!C$8:N$181,10,FALSE))</f>
        <v>-</v>
      </c>
      <c r="M78" s="52" t="str">
        <f>IF(F78="","",VLOOKUP(F78,'SELECT KELAS GENAP'!C$8:N$181,6,FALSE))</f>
        <v>C</v>
      </c>
      <c r="N78" s="52">
        <f>IF(F78="","",VLOOKUP(F78,'SELECT KELAS GENAP'!C$8:N$181,4,FALSE))</f>
        <v>4</v>
      </c>
      <c r="O78" s="52">
        <f>IF(F78="","",VLOOKUP(F78,'SELECT KELAS GENAP'!C$8:N$181,5,FALSE))</f>
        <v>3</v>
      </c>
      <c r="P78" s="52">
        <f>IF(F78="","",VLOOKUP(F78,'SELECT KELAS GENAP'!C$8:W$181,21,FALSE))</f>
        <v>28</v>
      </c>
      <c r="Q78" s="52" t="str">
        <f>IF(F78="","",VLOOKUP(F78,'SELECT KELAS GENAP'!C$8:N$181,7,FALSE))</f>
        <v>Helfi Nasution, S.Kom, M.Cs</v>
      </c>
      <c r="R78" s="52" t="str">
        <f>IF(F78="","",VLOOKUP(F78,'SELECT KELAS GENAP'!C$8:N$181,9,FALSE))</f>
        <v>None</v>
      </c>
      <c r="S78" s="98" t="str">
        <f>IF(F78="","",VLOOKUP(F78,'SELECT KELAS GENAP'!C$8:N$181,11,FALSE))</f>
        <v>Helfi Nasution, S.Kom, M.Cs</v>
      </c>
      <c r="T78" s="52"/>
      <c r="U78" s="206">
        <f t="shared" ref="U78:U125" si="46">C78</f>
        <v>0.60763888888888895</v>
      </c>
      <c r="V78" s="206">
        <f t="shared" si="45"/>
        <v>0.71180555555555558</v>
      </c>
    </row>
    <row r="79" spans="2:22" ht="34.950000000000003" customHeight="1" x14ac:dyDescent="0.3">
      <c r="B79" s="51" t="str">
        <f t="shared" si="34"/>
        <v>Rabu</v>
      </c>
      <c r="C79" s="51">
        <v>0.60763888888888895</v>
      </c>
      <c r="D79" s="51" t="str">
        <f t="shared" ref="D79:D125" si="47">IF(C79="","","s/d")</f>
        <v>s/d</v>
      </c>
      <c r="E79" s="51">
        <f t="shared" si="37"/>
        <v>0.71180555555555558</v>
      </c>
      <c r="F79" s="101" t="s">
        <v>582</v>
      </c>
      <c r="G79" s="115" t="s">
        <v>394</v>
      </c>
      <c r="H79" s="52" t="str">
        <f>IF(F79="","",VLOOKUP(F79,'SELECT KELAS GENAP'!C$8:N$181,2,FALSE))</f>
        <v>INF-55201-212</v>
      </c>
      <c r="I79" s="240" t="str">
        <f>IF(F79="","",VLOOKUP(F79,'SELECT KELAS GENAP'!C$8:N$175,3,FALSE))</f>
        <v>Analisis  dan  Perancangan  Sistem  </v>
      </c>
      <c r="J79" s="52" t="str">
        <f>IF(F79="","",VLOOKUP(F79,'SELECT KELAS GENAP'!C$8:N$181,12,FALSE))</f>
        <v>EFR / NC</v>
      </c>
      <c r="K79" s="237" t="str">
        <f>IF(F79="","",VLOOKUP(F79,'SELECT KELAS GENAP'!C$8:N$181,8,FALSE))</f>
        <v>EFR</v>
      </c>
      <c r="L79" s="237" t="str">
        <f>IF(F79="","",VLOOKUP(F79,'SELECT KELAS GENAP'!C$8:N$181,10,FALSE))</f>
        <v>NC</v>
      </c>
      <c r="M79" s="52" t="str">
        <f>IF(F79="","",VLOOKUP(F79,'SELECT KELAS GENAP'!C$8:N$181,6,FALSE))</f>
        <v>A</v>
      </c>
      <c r="N79" s="52">
        <f>IF(F79="","",VLOOKUP(F79,'SELECT KELAS GENAP'!C$8:N$181,4,FALSE))</f>
        <v>4</v>
      </c>
      <c r="O79" s="52">
        <f>IF(F79="","",VLOOKUP(F79,'SELECT KELAS GENAP'!C$8:N$181,5,FALSE))</f>
        <v>3</v>
      </c>
      <c r="P79" s="52">
        <f>IF(F79="","",VLOOKUP(F79,'SELECT KELAS GENAP'!C$8:W$181,21,FALSE))</f>
        <v>28</v>
      </c>
      <c r="Q79" s="52" t="str">
        <f>IF(F79="","",VLOOKUP(F79,'SELECT KELAS GENAP'!C$8:N$181,7,FALSE))</f>
        <v>Eva Faja Ripanti, S.Kom, MMSI, Ph.D</v>
      </c>
      <c r="R79" s="52" t="str">
        <f>IF(F79="","",VLOOKUP(F79,'SELECT KELAS GENAP'!C$8:N$181,9,FALSE))</f>
        <v>Niken Candraningrum, S.T., M.Cs.</v>
      </c>
      <c r="S79" s="98" t="str">
        <f>IF(F79="","",VLOOKUP(F79,'SELECT KELAS GENAP'!C$8:N$181,11,FALSE))</f>
        <v>Eva Faja Ripanti, S.Kom, MMSI, Ph.D / Niken Candraningrum, S.T., M.Cs.</v>
      </c>
      <c r="T79" s="52"/>
      <c r="U79" s="206">
        <f t="shared" si="46"/>
        <v>0.60763888888888895</v>
      </c>
      <c r="V79" s="206">
        <f t="shared" si="45"/>
        <v>0.71180555555555558</v>
      </c>
    </row>
    <row r="80" spans="2:22" ht="34.950000000000003" customHeight="1" x14ac:dyDescent="0.3">
      <c r="B80" s="51" t="str">
        <f t="shared" si="34"/>
        <v>Rabu</v>
      </c>
      <c r="C80" s="51">
        <v>0.60763888888888895</v>
      </c>
      <c r="D80" s="51" t="str">
        <f t="shared" si="47"/>
        <v>s/d</v>
      </c>
      <c r="E80" s="51">
        <f t="shared" si="37"/>
        <v>0.71180555555555558</v>
      </c>
      <c r="F80" s="101" t="s">
        <v>609</v>
      </c>
      <c r="G80" s="115" t="s">
        <v>394</v>
      </c>
      <c r="H80" s="52" t="str">
        <f>IF(F80="","",VLOOKUP(F80,'SELECT KELAS GENAP'!C$8:N$181,2,FALSE))</f>
        <v xml:space="preserve"> INF-55201-315</v>
      </c>
      <c r="I80" s="240" t="str">
        <f>IF(F80="","",VLOOKUP(F80,'SELECT KELAS GENAP'!C$8:N$175,3,FALSE))</f>
        <v>MK Pilihan Wajib Multimedia &amp; SIG (SIG)</v>
      </c>
      <c r="J80" s="52" t="str">
        <f>IF(F80="","",VLOOKUP(F80,'SELECT KELAS GENAP'!C$8:N$181,12,FALSE))</f>
        <v>YS / AI</v>
      </c>
      <c r="K80" s="237" t="str">
        <f>IF(F80="","",VLOOKUP(F80,'SELECT KELAS GENAP'!C$8:N$181,8,FALSE))</f>
        <v>YS</v>
      </c>
      <c r="L80" s="237" t="str">
        <f>IF(F80="","",VLOOKUP(F80,'SELECT KELAS GENAP'!C$8:N$181,10,FALSE))</f>
        <v>AI</v>
      </c>
      <c r="M80" s="52" t="str">
        <f>IF(F80="","",VLOOKUP(F80,'SELECT KELAS GENAP'!C$8:N$181,6,FALSE))</f>
        <v>C</v>
      </c>
      <c r="N80" s="52">
        <f>IF(F80="","",VLOOKUP(F80,'SELECT KELAS GENAP'!C$8:N$181,4,FALSE))</f>
        <v>6</v>
      </c>
      <c r="O80" s="52">
        <f>IF(F80="","",VLOOKUP(F80,'SELECT KELAS GENAP'!C$8:N$181,5,FALSE))</f>
        <v>3</v>
      </c>
      <c r="P80" s="52">
        <f>IF(F80="","",VLOOKUP(F80,'SELECT KELAS GENAP'!C$8:W$181,21,FALSE))</f>
        <v>28</v>
      </c>
      <c r="Q80" s="52" t="str">
        <f>IF(F80="","",VLOOKUP(F80,'SELECT KELAS GENAP'!C$8:N$181,7,FALSE))</f>
        <v>Dr. Yus Sholva, S.T., M.T.</v>
      </c>
      <c r="R80" s="52" t="str">
        <f>IF(F80="","",VLOOKUP(F80,'SELECT KELAS GENAP'!C$8:N$181,9,FALSE))</f>
        <v>M.Azhar Irwansyah, S.T.,M.Eng.</v>
      </c>
      <c r="S80" s="98" t="str">
        <f>IF(F80="","",VLOOKUP(F80,'SELECT KELAS GENAP'!C$8:N$181,11,FALSE))</f>
        <v>Dr. Yus Sholva, S.T., M.T. / M.Azhar Irwansyah, S.T.,M.Eng.</v>
      </c>
      <c r="T80" s="52"/>
      <c r="U80" s="206">
        <f t="shared" si="46"/>
        <v>0.60763888888888895</v>
      </c>
      <c r="V80" s="206">
        <f t="shared" si="45"/>
        <v>0.71180555555555558</v>
      </c>
    </row>
    <row r="81" spans="2:22" ht="34.950000000000003" customHeight="1" x14ac:dyDescent="0.3">
      <c r="B81" s="51" t="str">
        <f t="shared" si="34"/>
        <v>Rabu</v>
      </c>
      <c r="C81" s="51">
        <v>0.60763888888888895</v>
      </c>
      <c r="D81" s="51" t="str">
        <f t="shared" si="47"/>
        <v>s/d</v>
      </c>
      <c r="E81" s="51">
        <f t="shared" si="37"/>
        <v>0.71180555555555558</v>
      </c>
      <c r="F81" s="101" t="s">
        <v>562</v>
      </c>
      <c r="G81" s="115" t="s">
        <v>394</v>
      </c>
      <c r="H81" s="52" t="str">
        <f>IF(F81="","",VLOOKUP(F81,'SELECT KELAS GENAP'!C$8:N$181,2,FALSE))</f>
        <v xml:space="preserve"> INF-55201-314</v>
      </c>
      <c r="I81" s="240" t="str">
        <f>IF(F81="","",VLOOKUP(F81,'SELECT KELAS GENAP'!C$8:N$175,3,FALSE))</f>
        <v>MK Pilihan Wajib  Jaringan (Jaringan  Nirkabel  )</v>
      </c>
      <c r="J81" s="52" t="str">
        <f>IF(F81="","",VLOOKUP(F81,'SELECT KELAS GENAP'!C$8:N$181,12,FALSE))</f>
        <v>HP / RK</v>
      </c>
      <c r="K81" s="237" t="str">
        <f>IF(F81="","",VLOOKUP(F81,'SELECT KELAS GENAP'!C$8:N$181,8,FALSE))</f>
        <v>HP</v>
      </c>
      <c r="L81" s="237" t="str">
        <f>IF(F81="","",VLOOKUP(F81,'SELECT KELAS GENAP'!C$8:N$181,10,FALSE))</f>
        <v>RK</v>
      </c>
      <c r="M81" s="52" t="str">
        <f>IF(F81="","",VLOOKUP(F81,'SELECT KELAS GENAP'!C$8:N$181,6,FALSE))</f>
        <v>A</v>
      </c>
      <c r="N81" s="52">
        <f>IF(F81="","",VLOOKUP(F81,'SELECT KELAS GENAP'!C$8:N$181,4,FALSE))</f>
        <v>6</v>
      </c>
      <c r="O81" s="52">
        <f>IF(F81="","",VLOOKUP(F81,'SELECT KELAS GENAP'!C$8:N$181,5,FALSE))</f>
        <v>3</v>
      </c>
      <c r="P81" s="52">
        <f>IF(F81="","",VLOOKUP(F81,'SELECT KELAS GENAP'!C$8:W$181,21,FALSE))</f>
        <v>28</v>
      </c>
      <c r="Q81" s="52" t="str">
        <f>IF(F81="","",VLOOKUP(F81,'SELECT KELAS GENAP'!C$8:N$181,7,FALSE))</f>
        <v>Heri Priyanto,S.T., M.T.</v>
      </c>
      <c r="R81" s="52" t="str">
        <f>IF(F81="","",VLOOKUP(F81,'SELECT KELAS GENAP'!C$8:N$181,9,FALSE))</f>
        <v>Prof. Dr. Eng. Ir. Rudi Kurnianto, S.T., M.T., IPM.</v>
      </c>
      <c r="S81" s="98" t="str">
        <f>IF(F81="","",VLOOKUP(F81,'SELECT KELAS GENAP'!C$8:N$181,11,FALSE))</f>
        <v>Heri Priyanto,S.T., M.T. / Prof. Dr. Eng. Ir. Rudi Kurnianto, S.T., M.T., IPM.</v>
      </c>
      <c r="T81" s="52"/>
      <c r="U81" s="206">
        <f t="shared" si="46"/>
        <v>0.60763888888888895</v>
      </c>
      <c r="V81" s="206">
        <f t="shared" si="45"/>
        <v>0.71180555555555558</v>
      </c>
    </row>
    <row r="82" spans="2:22" ht="34.950000000000003" customHeight="1" x14ac:dyDescent="0.3">
      <c r="B82" s="51" t="str">
        <f t="shared" si="34"/>
        <v/>
      </c>
      <c r="C82" s="51"/>
      <c r="D82" s="51" t="str">
        <f t="shared" si="47"/>
        <v/>
      </c>
      <c r="E82" s="51" t="str">
        <f t="shared" si="37"/>
        <v/>
      </c>
      <c r="F82" s="101"/>
      <c r="G82" s="115"/>
      <c r="H82" s="52" t="str">
        <f>IF(F82="","",VLOOKUP(F82,'SELECT KELAS GENAP'!C$8:N$181,2,FALSE))</f>
        <v/>
      </c>
      <c r="I82" s="240" t="str">
        <f>IF(F82="","",VLOOKUP(F82,'SELECT KELAS GENAP'!C$8:N$175,3,FALSE))</f>
        <v/>
      </c>
      <c r="J82" s="52" t="str">
        <f>IF(F82="","",VLOOKUP(F82,'SELECT KELAS GENAP'!C$8:N$181,12,FALSE))</f>
        <v/>
      </c>
      <c r="K82" s="237" t="str">
        <f>IF(F82="","",VLOOKUP(F82,'SELECT KELAS GENAP'!C$8:N$181,8,FALSE))</f>
        <v/>
      </c>
      <c r="L82" s="237" t="str">
        <f>IF(F82="","",VLOOKUP(F82,'SELECT KELAS GENAP'!C$8:N$181,10,FALSE))</f>
        <v/>
      </c>
      <c r="M82" s="52" t="str">
        <f>IF(F82="","",VLOOKUP(F82,'SELECT KELAS GENAP'!C$8:N$181,6,FALSE))</f>
        <v/>
      </c>
      <c r="N82" s="52" t="str">
        <f>IF(F82="","",VLOOKUP(F82,'SELECT KELAS GENAP'!C$8:N$181,4,FALSE))</f>
        <v/>
      </c>
      <c r="O82" s="52" t="str">
        <f>IF(F82="","",VLOOKUP(F82,'SELECT KELAS GENAP'!C$8:N$181,5,FALSE))</f>
        <v/>
      </c>
      <c r="P82" s="52" t="str">
        <f>IF(F82="","",VLOOKUP(F82,'SELECT KELAS GENAP'!C$8:W$181,21,FALSE))</f>
        <v/>
      </c>
      <c r="Q82" s="52" t="str">
        <f>IF(F82="","",VLOOKUP(F82,'SELECT KELAS GENAP'!C$8:N$181,7,FALSE))</f>
        <v/>
      </c>
      <c r="R82" s="52" t="str">
        <f>IF(F82="","",VLOOKUP(F82,'SELECT KELAS GENAP'!C$8:N$181,9,FALSE))</f>
        <v/>
      </c>
      <c r="S82" s="98" t="str">
        <f>IF(F82="","",VLOOKUP(F82,'SELECT KELAS GENAP'!C$8:N$181,11,FALSE))</f>
        <v/>
      </c>
      <c r="T82" s="52"/>
      <c r="U82" s="206">
        <f t="shared" si="46"/>
        <v>0</v>
      </c>
      <c r="V82" s="206" t="str">
        <f t="shared" si="45"/>
        <v/>
      </c>
    </row>
    <row r="83" spans="2:22" s="248" customFormat="1" ht="34.950000000000003" customHeight="1" x14ac:dyDescent="0.3">
      <c r="B83" s="241" t="str">
        <f t="shared" si="34"/>
        <v/>
      </c>
      <c r="C83" s="241"/>
      <c r="D83" s="241" t="str">
        <f t="shared" si="47"/>
        <v/>
      </c>
      <c r="E83" s="241"/>
      <c r="F83" s="242"/>
      <c r="G83" s="243" t="s">
        <v>394</v>
      </c>
      <c r="H83" s="244" t="str">
        <f>IF(F83="","",VLOOKUP(F83,'SELECT KELAS GENAP'!C$8:N$181,2,FALSE))</f>
        <v/>
      </c>
      <c r="I83" s="245" t="str">
        <f>IF(F83="","",VLOOKUP(F83,'SELECT KELAS GENAP'!C$8:N$175,3,FALSE))</f>
        <v/>
      </c>
      <c r="J83" s="244" t="str">
        <f>IF(F83="","",VLOOKUP(F83,'SELECT KELAS GENAP'!C$8:N$181,12,FALSE))</f>
        <v/>
      </c>
      <c r="K83" s="246" t="str">
        <f>IF(F83="","",VLOOKUP(F83,'SELECT KELAS GENAP'!C$8:N$181,8,FALSE))</f>
        <v/>
      </c>
      <c r="L83" s="246" t="str">
        <f>IF(F83="","",VLOOKUP(F83,'SELECT KELAS GENAP'!C$8:N$181,10,FALSE))</f>
        <v/>
      </c>
      <c r="M83" s="244" t="str">
        <f>IF(F83="","",VLOOKUP(F83,'SELECT KELAS GENAP'!C$8:N$181,6,FALSE))</f>
        <v/>
      </c>
      <c r="N83" s="244" t="str">
        <f>IF(F83="","",VLOOKUP(F83,'SELECT KELAS GENAP'!C$8:N$181,4,FALSE))</f>
        <v/>
      </c>
      <c r="O83" s="244" t="str">
        <f>IF(F83="","",VLOOKUP(F83,'SELECT KELAS GENAP'!C$8:N$181,5,FALSE))</f>
        <v/>
      </c>
      <c r="P83" s="244" t="str">
        <f>IF(F83="","",VLOOKUP(F83,'SELECT KELAS GENAP'!C$8:W$181,21,FALSE))</f>
        <v/>
      </c>
      <c r="Q83" s="244" t="str">
        <f>IF(F83="","",VLOOKUP(F83,'SELECT KELAS GENAP'!C$8:N$181,7,FALSE))</f>
        <v/>
      </c>
      <c r="R83" s="244" t="str">
        <f>IF(F83="","",VLOOKUP(F83,'SELECT KELAS GENAP'!C$8:N$181,9,FALSE))</f>
        <v/>
      </c>
      <c r="S83" s="245" t="str">
        <f>IF(F83="","",VLOOKUP(F83,'SELECT KELAS GENAP'!C$8:N$181,11,FALSE))</f>
        <v/>
      </c>
      <c r="T83" s="244"/>
      <c r="U83" s="247">
        <f t="shared" si="46"/>
        <v>0</v>
      </c>
      <c r="V83" s="247">
        <f t="shared" si="45"/>
        <v>0</v>
      </c>
    </row>
    <row r="84" spans="2:22" ht="34.950000000000003" customHeight="1" x14ac:dyDescent="0.3">
      <c r="B84" s="51" t="str">
        <f>IF(C84="","","Kamis")</f>
        <v>Kamis</v>
      </c>
      <c r="C84" s="51">
        <v>0.3125</v>
      </c>
      <c r="D84" s="51" t="str">
        <f t="shared" si="47"/>
        <v>s/d</v>
      </c>
      <c r="E84" s="51">
        <f t="shared" ref="E84:E125" si="48">IF(O84="","",(IF(O84=4,C84+TIME(0,2*50,0),C84+TIME(0,O84*50,0))))</f>
        <v>0.38194444444444442</v>
      </c>
      <c r="F84" s="101" t="s">
        <v>514</v>
      </c>
      <c r="G84" s="115" t="s">
        <v>394</v>
      </c>
      <c r="H84" s="52" t="str">
        <f>IF(F84="","",VLOOKUP(F84,'SELECT KELAS GENAP'!C$8:N$181,2,FALSE))</f>
        <v>INF-55201-109</v>
      </c>
      <c r="I84" s="240" t="str">
        <f>IF(F84="","",VLOOKUP(F84,'SELECT KELAS GENAP'!C$8:N$175,3,FALSE))</f>
        <v>Struktur  Data  dan Algoritma*</v>
      </c>
      <c r="J84" s="52" t="str">
        <f>IF(F84="","",VLOOKUP(F84,'SELECT KELAS GENAP'!C$8:N$181,12,FALSE))</f>
        <v>TZ / FA</v>
      </c>
      <c r="K84" s="237" t="str">
        <f>IF(F84="","",VLOOKUP(F84,'SELECT KELAS GENAP'!C$8:N$181,8,FALSE))</f>
        <v>TZ</v>
      </c>
      <c r="L84" s="237" t="str">
        <f>IF(F84="","",VLOOKUP(F84,'SELECT KELAS GENAP'!C$8:N$181,10,FALSE))</f>
        <v>FA</v>
      </c>
      <c r="M84" s="52" t="str">
        <f>IF(F84="","",VLOOKUP(F84,'SELECT KELAS GENAP'!C$8:N$181,6,FALSE))</f>
        <v>A</v>
      </c>
      <c r="N84" s="52">
        <f>IF(F84="","",VLOOKUP(F84,'SELECT KELAS GENAP'!C$8:N$181,4,FALSE))</f>
        <v>2</v>
      </c>
      <c r="O84" s="52">
        <f>IF(F84="","",VLOOKUP(F84,'SELECT KELAS GENAP'!C$8:N$181,5,FALSE))</f>
        <v>4</v>
      </c>
      <c r="P84" s="52">
        <f>IF(F84="","",VLOOKUP(F84,'SELECT KELAS GENAP'!C$8:W$181,21,FALSE))</f>
        <v>35</v>
      </c>
      <c r="Q84" s="52" t="str">
        <f>IF(F84="","",VLOOKUP(F84,'SELECT KELAS GENAP'!C$8:N$181,7,FALSE))</f>
        <v>Morteza Muthahhari, S.Kom., M.T.I</v>
      </c>
      <c r="R84" s="52" t="str">
        <f>IF(F84="","",VLOOKUP(F84,'SELECT KELAS GENAP'!C$8:N$181,9,FALSE))</f>
        <v>Fauzan Asrin, S.Kom, M. Kom.</v>
      </c>
      <c r="S84" s="98" t="str">
        <f>IF(F84="","",VLOOKUP(F84,'SELECT KELAS GENAP'!C$8:N$181,11,FALSE))</f>
        <v>Morteza Muthahhari, S.Kom., M.T.I / Fauzan Asrin, S.Kom, M. Kom.</v>
      </c>
      <c r="T84" s="52"/>
      <c r="U84" s="206">
        <f t="shared" si="46"/>
        <v>0.3125</v>
      </c>
      <c r="V84" s="206">
        <f t="shared" si="45"/>
        <v>0.38194444444444442</v>
      </c>
    </row>
    <row r="85" spans="2:22" ht="34.950000000000003" customHeight="1" x14ac:dyDescent="0.3">
      <c r="B85" s="51" t="str">
        <f t="shared" ref="B85:B108" si="49">IF(C85="","","Kamis")</f>
        <v>Kamis</v>
      </c>
      <c r="C85" s="51">
        <v>0.3125</v>
      </c>
      <c r="D85" s="51" t="str">
        <f t="shared" si="47"/>
        <v>s/d</v>
      </c>
      <c r="E85" s="51">
        <f t="shared" si="48"/>
        <v>0.38194444444444442</v>
      </c>
      <c r="F85" s="101" t="s">
        <v>570</v>
      </c>
      <c r="G85" s="115" t="s">
        <v>394</v>
      </c>
      <c r="H85" s="52" t="str">
        <f>IF(F85="","",VLOOKUP(F85,'SELECT KELAS GENAP'!C$8:N$181,2,FALSE))</f>
        <v>INF-55201-208</v>
      </c>
      <c r="I85" s="240" t="str">
        <f>IF(F85="","",VLOOKUP(F85,'SELECT KELAS GENAP'!C$8:N$175,3,FALSE))</f>
        <v>Manajemen Basis Data*</v>
      </c>
      <c r="J85" s="52" t="str">
        <f>IF(F85="","",VLOOKUP(F85,'SELECT KELAS GENAP'!C$8:N$181,12,FALSE))</f>
        <v>HN / HSP</v>
      </c>
      <c r="K85" s="237" t="str">
        <f>IF(F85="","",VLOOKUP(F85,'SELECT KELAS GENAP'!C$8:N$181,8,FALSE))</f>
        <v>HN</v>
      </c>
      <c r="L85" s="237" t="str">
        <f>IF(F85="","",VLOOKUP(F85,'SELECT KELAS GENAP'!C$8:N$181,10,FALSE))</f>
        <v>HSP</v>
      </c>
      <c r="M85" s="52" t="str">
        <f>IF(F85="","",VLOOKUP(F85,'SELECT KELAS GENAP'!C$8:N$181,6,FALSE))</f>
        <v>B</v>
      </c>
      <c r="N85" s="52">
        <f>IF(F85="","",VLOOKUP(F85,'SELECT KELAS GENAP'!C$8:N$181,4,FALSE))</f>
        <v>4</v>
      </c>
      <c r="O85" s="52">
        <f>IF(F85="","",VLOOKUP(F85,'SELECT KELAS GENAP'!C$8:N$181,5,FALSE))</f>
        <v>4</v>
      </c>
      <c r="P85" s="52">
        <f>IF(F85="","",VLOOKUP(F85,'SELECT KELAS GENAP'!C$8:W$181,21,FALSE))</f>
        <v>35</v>
      </c>
      <c r="Q85" s="52" t="str">
        <f>IF(F85="","",VLOOKUP(F85,'SELECT KELAS GENAP'!C$8:N$181,7,FALSE))</f>
        <v>Haried Novriando, S.Kom, M.Eng</v>
      </c>
      <c r="R85" s="52" t="str">
        <f>IF(F85="","",VLOOKUP(F85,'SELECT KELAS GENAP'!C$8:N$181,9,FALSE))</f>
        <v>Helen Sastypratiwi, S.T., M.Eng</v>
      </c>
      <c r="S85" s="98" t="str">
        <f>IF(F85="","",VLOOKUP(F85,'SELECT KELAS GENAP'!C$8:N$181,11,FALSE))</f>
        <v>Haried Novriando, S.Kom, M.Eng / Helen Sastypratiwi, S.T., M.Eng</v>
      </c>
      <c r="T85" s="52"/>
      <c r="U85" s="206">
        <f t="shared" si="46"/>
        <v>0.3125</v>
      </c>
      <c r="V85" s="206">
        <f t="shared" si="45"/>
        <v>0.38194444444444442</v>
      </c>
    </row>
    <row r="86" spans="2:22" ht="34.950000000000003" customHeight="1" x14ac:dyDescent="0.3">
      <c r="B86" s="51" t="str">
        <f t="shared" si="49"/>
        <v>Kamis</v>
      </c>
      <c r="C86" s="51">
        <v>0.3125</v>
      </c>
      <c r="D86" s="51" t="str">
        <f t="shared" si="47"/>
        <v>s/d</v>
      </c>
      <c r="E86" s="51">
        <f t="shared" si="48"/>
        <v>0.38194444444444442</v>
      </c>
      <c r="F86" s="101" t="s">
        <v>605</v>
      </c>
      <c r="G86" s="115" t="s">
        <v>394</v>
      </c>
      <c r="H86" s="52" t="str">
        <f>IF(F86="","",VLOOKUP(F86,'SELECT KELAS GENAP'!C$8:N$181,2,FALSE))</f>
        <v>INF-55201-211</v>
      </c>
      <c r="I86" s="240" t="str">
        <f>IF(F86="","",VLOOKUP(F86,'SELECT KELAS GENAP'!C$8:N$175,3,FALSE))</f>
        <v>Pemrograman  Berorientasi  Objek * </v>
      </c>
      <c r="J86" s="52" t="str">
        <f>IF(F86="","",VLOOKUP(F86,'SELECT KELAS GENAP'!C$8:N$181,12,FALSE))</f>
        <v>RDN</v>
      </c>
      <c r="K86" s="237" t="str">
        <f>IF(F86="","",VLOOKUP(F86,'SELECT KELAS GENAP'!C$8:N$181,8,FALSE))</f>
        <v>RDN</v>
      </c>
      <c r="L86" s="237" t="str">
        <f>IF(F86="","",VLOOKUP(F86,'SELECT KELAS GENAP'!C$8:N$181,10,FALSE))</f>
        <v>-</v>
      </c>
      <c r="M86" s="52" t="str">
        <f>IF(F86="","",VLOOKUP(F86,'SELECT KELAS GENAP'!C$8:N$181,6,FALSE))</f>
        <v>A</v>
      </c>
      <c r="N86" s="52">
        <f>IF(F86="","",VLOOKUP(F86,'SELECT KELAS GENAP'!C$8:N$181,4,FALSE))</f>
        <v>4</v>
      </c>
      <c r="O86" s="52">
        <f>IF(F86="","",VLOOKUP(F86,'SELECT KELAS GENAP'!C$8:N$181,5,FALSE))</f>
        <v>4</v>
      </c>
      <c r="P86" s="52">
        <f>IF(F86="","",VLOOKUP(F86,'SELECT KELAS GENAP'!C$8:W$181,21,FALSE))</f>
        <v>35</v>
      </c>
      <c r="Q86" s="52" t="str">
        <f>IF(F86="","",VLOOKUP(F86,'SELECT KELAS GENAP'!C$8:N$181,7,FALSE))</f>
        <v>Rudy Dwi Nyoto, S.T., M.Eng</v>
      </c>
      <c r="R86" s="52" t="str">
        <f>IF(F86="","",VLOOKUP(F86,'SELECT KELAS GENAP'!C$8:N$181,9,FALSE))</f>
        <v>None</v>
      </c>
      <c r="S86" s="98" t="str">
        <f>IF(F86="","",VLOOKUP(F86,'SELECT KELAS GENAP'!C$8:N$181,11,FALSE))</f>
        <v>Rudy Dwi Nyoto, S.T., M.Eng</v>
      </c>
      <c r="T86" s="52"/>
      <c r="U86" s="206">
        <f t="shared" si="46"/>
        <v>0.3125</v>
      </c>
      <c r="V86" s="206">
        <f t="shared" si="45"/>
        <v>0.38194444444444442</v>
      </c>
    </row>
    <row r="87" spans="2:22" ht="34.799999999999997" customHeight="1" x14ac:dyDescent="0.3">
      <c r="B87" s="51" t="str">
        <f t="shared" si="49"/>
        <v>Kamis</v>
      </c>
      <c r="C87" s="51">
        <v>0.3125</v>
      </c>
      <c r="D87" s="51" t="str">
        <f t="shared" si="47"/>
        <v>s/d</v>
      </c>
      <c r="E87" s="51">
        <f t="shared" si="48"/>
        <v>0.38194444444444442</v>
      </c>
      <c r="F87" s="101" t="s">
        <v>555</v>
      </c>
      <c r="G87" s="115" t="s">
        <v>394</v>
      </c>
      <c r="H87" s="52" t="str">
        <f>IF(F87="","",VLOOKUP(F87,'SELECT KELAS GENAP'!C$8:N$181,2,FALSE))</f>
        <v xml:space="preserve"> INF-55201-316</v>
      </c>
      <c r="I87" s="240" t="str">
        <f>IF(F87="","",VLOOKUP(F87,'SELECT KELAS GENAP'!C$8:N$175,3,FALSE))</f>
        <v>Proyek Perangkat  Lunak*</v>
      </c>
      <c r="J87" s="52" t="str">
        <f>IF(F87="","",VLOOKUP(F87,'SELECT KELAS GENAP'!C$8:N$181,12,FALSE))</f>
        <v>AP / DIU</v>
      </c>
      <c r="K87" s="237" t="str">
        <f>IF(F87="","",VLOOKUP(F87,'SELECT KELAS GENAP'!C$8:N$181,8,FALSE))</f>
        <v>AP</v>
      </c>
      <c r="L87" s="237" t="str">
        <f>IF(F87="","",VLOOKUP(F87,'SELECT KELAS GENAP'!C$8:N$181,10,FALSE))</f>
        <v>DIU</v>
      </c>
      <c r="M87" s="52" t="str">
        <f>IF(F87="","",VLOOKUP(F87,'SELECT KELAS GENAP'!C$8:N$181,6,FALSE))</f>
        <v>B</v>
      </c>
      <c r="N87" s="52">
        <f>IF(F87="","",VLOOKUP(F87,'SELECT KELAS GENAP'!C$8:N$181,4,FALSE))</f>
        <v>6</v>
      </c>
      <c r="O87" s="52">
        <f>IF(F87="","",VLOOKUP(F87,'SELECT KELAS GENAP'!C$8:N$181,5,FALSE))</f>
        <v>4</v>
      </c>
      <c r="P87" s="52">
        <f>IF(F87="","",VLOOKUP(F87,'SELECT KELAS GENAP'!C$8:W$181,21,FALSE))</f>
        <v>35</v>
      </c>
      <c r="Q87" s="52" t="str">
        <f>IF(F87="","",VLOOKUP(F87,'SELECT KELAS GENAP'!C$8:N$181,7,FALSE))</f>
        <v>Anggi Perwitasari, S.T., M.T.</v>
      </c>
      <c r="R87" s="52" t="str">
        <f>IF(F87="","",VLOOKUP(F87,'SELECT KELAS GENAP'!C$8:N$181,9,FALSE))</f>
        <v>Desepta Isna Ulumi, S.Kom, M.Kom.</v>
      </c>
      <c r="S87" s="98" t="str">
        <f>IF(F87="","",VLOOKUP(F87,'SELECT KELAS GENAP'!C$8:N$181,11,FALSE))</f>
        <v>Anggi Perwitasari, S.T., M.T. / Desepta Isna Ulumi, S.Kom, M.Kom.</v>
      </c>
      <c r="T87" s="52"/>
      <c r="U87" s="206">
        <f t="shared" si="46"/>
        <v>0.3125</v>
      </c>
      <c r="V87" s="206">
        <f t="shared" si="45"/>
        <v>0.38194444444444442</v>
      </c>
    </row>
    <row r="88" spans="2:22" ht="34.799999999999997" customHeight="1" x14ac:dyDescent="0.3">
      <c r="B88" s="51" t="str">
        <f t="shared" si="49"/>
        <v/>
      </c>
      <c r="C88" s="51"/>
      <c r="D88" s="51" t="str">
        <f t="shared" si="47"/>
        <v/>
      </c>
      <c r="E88" s="51" t="str">
        <f t="shared" si="48"/>
        <v/>
      </c>
      <c r="F88" s="101"/>
      <c r="G88" s="115" t="s">
        <v>394</v>
      </c>
      <c r="H88" s="52" t="str">
        <f>IF(F88="","",VLOOKUP(F88,'SELECT KELAS GENAP'!C$8:N$181,2,FALSE))</f>
        <v/>
      </c>
      <c r="I88" s="240" t="str">
        <f>IF(F88="","",VLOOKUP(F88,'SELECT KELAS GENAP'!C$8:N$175,3,FALSE))</f>
        <v/>
      </c>
      <c r="J88" s="52" t="str">
        <f>IF(F88="","",VLOOKUP(F88,'SELECT KELAS GENAP'!C$8:N$181,12,FALSE))</f>
        <v/>
      </c>
      <c r="K88" s="237" t="str">
        <f>IF(F88="","",VLOOKUP(F88,'SELECT KELAS GENAP'!C$8:N$181,8,FALSE))</f>
        <v/>
      </c>
      <c r="L88" s="237" t="str">
        <f>IF(F88="","",VLOOKUP(F88,'SELECT KELAS GENAP'!C$8:N$181,10,FALSE))</f>
        <v/>
      </c>
      <c r="M88" s="52" t="str">
        <f>IF(F88="","",VLOOKUP(F88,'SELECT KELAS GENAP'!C$8:N$181,6,FALSE))</f>
        <v/>
      </c>
      <c r="N88" s="52" t="str">
        <f>IF(F88="","",VLOOKUP(F88,'SELECT KELAS GENAP'!C$8:N$181,4,FALSE))</f>
        <v/>
      </c>
      <c r="O88" s="52" t="str">
        <f>IF(F88="","",VLOOKUP(F88,'SELECT KELAS GENAP'!C$8:N$181,5,FALSE))</f>
        <v/>
      </c>
      <c r="P88" s="52" t="str">
        <f>IF(F88="","",VLOOKUP(F88,'SELECT KELAS GENAP'!C$8:W$181,21,FALSE))</f>
        <v/>
      </c>
      <c r="Q88" s="52" t="str">
        <f>IF(F88="","",VLOOKUP(F88,'SELECT KELAS GENAP'!C$8:N$181,7,FALSE))</f>
        <v/>
      </c>
      <c r="R88" s="52" t="str">
        <f>IF(F88="","",VLOOKUP(F88,'SELECT KELAS GENAP'!C$8:N$181,9,FALSE))</f>
        <v/>
      </c>
      <c r="S88" s="98" t="str">
        <f>IF(F88="","",VLOOKUP(F88,'SELECT KELAS GENAP'!C$8:N$181,11,FALSE))</f>
        <v/>
      </c>
      <c r="T88" s="52"/>
      <c r="U88" s="206">
        <f t="shared" si="46"/>
        <v>0</v>
      </c>
      <c r="V88" s="206" t="str">
        <f t="shared" si="45"/>
        <v/>
      </c>
    </row>
    <row r="89" spans="2:22" ht="34.950000000000003" customHeight="1" x14ac:dyDescent="0.3">
      <c r="B89" s="51" t="str">
        <f t="shared" si="49"/>
        <v>Kamis</v>
      </c>
      <c r="C89" s="51">
        <v>0.3888888888888889</v>
      </c>
      <c r="D89" s="51" t="str">
        <f t="shared" ref="D89:D90" si="50">IF(C89="","","s/d")</f>
        <v>s/d</v>
      </c>
      <c r="E89" s="51">
        <f t="shared" ref="E89:E91" si="51">IF(O89="","",(IF(O89=4,C89+TIME(0,2*50,0),C89+TIME(0,O89*50,0))))</f>
        <v>0.49305555555555558</v>
      </c>
      <c r="F89" s="101" t="s">
        <v>545</v>
      </c>
      <c r="G89" s="115" t="s">
        <v>394</v>
      </c>
      <c r="H89" s="52" t="str">
        <f>IF(F89="","",VLOOKUP(F89,'SELECT KELAS GENAP'!C$8:N$181,2,FALSE))</f>
        <v>INF-55201-108</v>
      </c>
      <c r="I89" s="240" t="str">
        <f>IF(F89="","",VLOOKUP(F89,'SELECT KELAS GENAP'!C$8:N$175,3,FALSE))</f>
        <v>Dasar rekayasa perangkat lunak</v>
      </c>
      <c r="J89" s="52" t="str">
        <f>IF(F89="","",VLOOKUP(F89,'SELECT KELAS GENAP'!C$8:N$181,12,FALSE))</f>
        <v>AP / DIU</v>
      </c>
      <c r="K89" s="237" t="str">
        <f>IF(F89="","",VLOOKUP(F89,'SELECT KELAS GENAP'!C$8:N$181,8,FALSE))</f>
        <v>AP</v>
      </c>
      <c r="L89" s="237" t="str">
        <f>IF(F89="","",VLOOKUP(F89,'SELECT KELAS GENAP'!C$8:N$181,10,FALSE))</f>
        <v>DIU</v>
      </c>
      <c r="M89" s="52" t="str">
        <f>IF(F89="","",VLOOKUP(F89,'SELECT KELAS GENAP'!C$8:N$181,6,FALSE))</f>
        <v>C</v>
      </c>
      <c r="N89" s="52">
        <f>IF(F89="","",VLOOKUP(F89,'SELECT KELAS GENAP'!C$8:N$181,4,FALSE))</f>
        <v>2</v>
      </c>
      <c r="O89" s="52">
        <f>IF(F89="","",VLOOKUP(F89,'SELECT KELAS GENAP'!C$8:N$181,5,FALSE))</f>
        <v>3</v>
      </c>
      <c r="P89" s="52">
        <f>IF(F89="","",VLOOKUP(F89,'SELECT KELAS GENAP'!C$8:W$181,21,FALSE))</f>
        <v>28</v>
      </c>
      <c r="Q89" s="52" t="str">
        <f>IF(F89="","",VLOOKUP(F89,'SELECT KELAS GENAP'!C$8:N$181,7,FALSE))</f>
        <v>Anggi Perwitasari, S.T., M.T.</v>
      </c>
      <c r="R89" s="52" t="str">
        <f>IF(F89="","",VLOOKUP(F89,'SELECT KELAS GENAP'!C$8:N$181,9,FALSE))</f>
        <v>Desepta Isna Ulumi, S.Kom, M.Kom.</v>
      </c>
      <c r="S89" s="98" t="str">
        <f>IF(F89="","",VLOOKUP(F89,'SELECT KELAS GENAP'!C$8:N$181,11,FALSE))</f>
        <v>Anggi Perwitasari, S.T., M.T. / Desepta Isna Ulumi, S.Kom, M.Kom.</v>
      </c>
      <c r="T89" s="52"/>
      <c r="U89" s="206">
        <f t="shared" si="46"/>
        <v>0.3888888888888889</v>
      </c>
      <c r="V89" s="206">
        <f t="shared" si="45"/>
        <v>0.49305555555555558</v>
      </c>
    </row>
    <row r="90" spans="2:22" ht="34.950000000000003" customHeight="1" x14ac:dyDescent="0.3">
      <c r="B90" s="51" t="str">
        <f t="shared" si="49"/>
        <v>Kamis</v>
      </c>
      <c r="C90" s="51">
        <v>0.3888888888888889</v>
      </c>
      <c r="D90" s="51" t="str">
        <f t="shared" si="50"/>
        <v>s/d</v>
      </c>
      <c r="E90" s="51">
        <f t="shared" si="51"/>
        <v>0.49305555555555558</v>
      </c>
      <c r="F90" s="101" t="s">
        <v>557</v>
      </c>
      <c r="G90" s="115"/>
      <c r="H90" s="52" t="str">
        <f>IF(F90="","",VLOOKUP(F90,'SELECT KELAS GENAP'!C$8:N$181,2,FALSE))</f>
        <v>INF-55201-106</v>
      </c>
      <c r="I90" s="240" t="str">
        <f>IF(F90="","",VLOOKUP(F90,'SELECT KELAS GENAP'!C$8:N$175,3,FALSE))</f>
        <v>Matematika  Dasar II</v>
      </c>
      <c r="J90" s="52" t="str">
        <f>IF(F90="","",VLOOKUP(F90,'SELECT KELAS GENAP'!C$8:N$181,12,FALSE))</f>
        <v>RS / AS</v>
      </c>
      <c r="K90" s="237" t="str">
        <f>IF(F90="","",VLOOKUP(F90,'SELECT KELAS GENAP'!C$8:N$181,8,FALSE))</f>
        <v>RS</v>
      </c>
      <c r="L90" s="237" t="str">
        <f>IF(F90="","",VLOOKUP(F90,'SELECT KELAS GENAP'!C$8:N$181,10,FALSE))</f>
        <v>AS</v>
      </c>
      <c r="M90" s="52" t="str">
        <f>IF(F90="","",VLOOKUP(F90,'SELECT KELAS GENAP'!C$8:N$181,6,FALSE))</f>
        <v>D</v>
      </c>
      <c r="N90" s="52">
        <f>IF(F90="","",VLOOKUP(F90,'SELECT KELAS GENAP'!C$8:N$181,4,FALSE))</f>
        <v>2</v>
      </c>
      <c r="O90" s="52">
        <f>IF(F90="","",VLOOKUP(F90,'SELECT KELAS GENAP'!C$8:N$181,5,FALSE))</f>
        <v>3</v>
      </c>
      <c r="P90" s="52">
        <f>IF(F90="","",VLOOKUP(F90,'SELECT KELAS GENAP'!C$8:W$181,21,FALSE))</f>
        <v>28</v>
      </c>
      <c r="Q90" s="52" t="str">
        <f>IF(F90="","",VLOOKUP(F90,'SELECT KELAS GENAP'!C$8:N$181,7,FALSE))</f>
        <v>Rina Septiriana, S.T., M.Cs.</v>
      </c>
      <c r="R90" s="52" t="str">
        <f>IF(F90="","",VLOOKUP(F90,'SELECT KELAS GENAP'!C$8:N$181,9,FALSE))</f>
        <v>Anggi Srimurdianti, S.T., M.T.</v>
      </c>
      <c r="S90" s="98" t="str">
        <f>IF(F90="","",VLOOKUP(F90,'SELECT KELAS GENAP'!C$8:N$181,11,FALSE))</f>
        <v>Rina Septiriana, S.T., M.Cs. / Anggi Srimurdianti, S.T., M.T.</v>
      </c>
      <c r="T90" s="52"/>
      <c r="U90" s="206">
        <f t="shared" si="46"/>
        <v>0.3888888888888889</v>
      </c>
      <c r="V90" s="206">
        <f t="shared" si="45"/>
        <v>0.49305555555555558</v>
      </c>
    </row>
    <row r="91" spans="2:22" ht="34.950000000000003" customHeight="1" x14ac:dyDescent="0.3">
      <c r="B91" s="51" t="str">
        <f t="shared" ref="B91" si="52">IF(C91="","","Kamis")</f>
        <v>Kamis</v>
      </c>
      <c r="C91" s="51">
        <v>0.3888888888888889</v>
      </c>
      <c r="D91" s="51" t="str">
        <f t="shared" ref="D91" si="53">IF(C91="","","s/d")</f>
        <v>s/d</v>
      </c>
      <c r="E91" s="51">
        <f t="shared" si="51"/>
        <v>0.49305555555555558</v>
      </c>
      <c r="F91" s="101" t="s">
        <v>563</v>
      </c>
      <c r="G91" s="115"/>
      <c r="H91" s="52" t="str">
        <f>IF(F91="","",VLOOKUP(F91,'SELECT KELAS GENAP'!C$8:N$181,2,FALSE))</f>
        <v>INF-55201-214</v>
      </c>
      <c r="I91" s="240" t="str">
        <f>IF(F91="","",VLOOKUP(F91,'SELECT KELAS GENAP'!C$8:N$175,3,FALSE))</f>
        <v>Sistem Pendukung Keputusan</v>
      </c>
      <c r="J91" s="52" t="str">
        <f>IF(F91="","",VLOOKUP(F91,'SELECT KELAS GENAP'!C$8:N$181,12,FALSE))</f>
        <v>TR / SP</v>
      </c>
      <c r="K91" s="237" t="str">
        <f>IF(F91="","",VLOOKUP(F91,'SELECT KELAS GENAP'!C$8:N$181,8,FALSE))</f>
        <v>TR</v>
      </c>
      <c r="L91" s="237" t="str">
        <f>IF(F91="","",VLOOKUP(F91,'SELECT KELAS GENAP'!C$8:N$181,10,FALSE))</f>
        <v>SP</v>
      </c>
      <c r="M91" s="52" t="str">
        <f>IF(F91="","",VLOOKUP(F91,'SELECT KELAS GENAP'!C$8:N$181,6,FALSE))</f>
        <v>A</v>
      </c>
      <c r="N91" s="52">
        <f>IF(F91="","",VLOOKUP(F91,'SELECT KELAS GENAP'!C$8:N$181,4,FALSE))</f>
        <v>4</v>
      </c>
      <c r="O91" s="52">
        <f>IF(F91="","",VLOOKUP(F91,'SELECT KELAS GENAP'!C$8:N$181,5,FALSE))</f>
        <v>3</v>
      </c>
      <c r="P91" s="52">
        <f>IF(F91="","",VLOOKUP(F91,'SELECT KELAS GENAP'!C$8:W$181,21,FALSE))</f>
        <v>28</v>
      </c>
      <c r="Q91" s="52" t="str">
        <f>IF(F91="","",VLOOKUP(F91,'SELECT KELAS GENAP'!C$8:N$181,7,FALSE))</f>
        <v>Tursina ST, M.Cs</v>
      </c>
      <c r="R91" s="52" t="str">
        <f>IF(F91="","",VLOOKUP(F91,'SELECT KELAS GENAP'!C$8:N$181,9,FALSE))</f>
        <v>Prof. Dr. -Ing. Seno D. Panjaitan, S.T., M.T., IPM.</v>
      </c>
      <c r="S91" s="98" t="str">
        <f>IF(F91="","",VLOOKUP(F91,'SELECT KELAS GENAP'!C$8:N$181,11,FALSE))</f>
        <v>Tursina ST, M.Cs / Prof. Dr. -Ing. Seno D. Panjaitan, S.T., M.T., IPM.</v>
      </c>
      <c r="T91" s="52"/>
      <c r="U91" s="206"/>
      <c r="V91" s="206"/>
    </row>
    <row r="92" spans="2:22" ht="34.950000000000003" customHeight="1" x14ac:dyDescent="0.3">
      <c r="B92" s="51" t="str">
        <f t="shared" si="49"/>
        <v>Kamis</v>
      </c>
      <c r="C92" s="51">
        <v>0.3888888888888889</v>
      </c>
      <c r="D92" s="51" t="str">
        <f t="shared" si="47"/>
        <v>s/d</v>
      </c>
      <c r="E92" s="51">
        <f t="shared" si="48"/>
        <v>0.45833333333333337</v>
      </c>
      <c r="F92" s="101" t="s">
        <v>569</v>
      </c>
      <c r="G92" s="115" t="s">
        <v>394</v>
      </c>
      <c r="H92" s="52" t="str">
        <f>IF(F92="","",VLOOKUP(F92,'SELECT KELAS GENAP'!C$8:N$181,2,FALSE))</f>
        <v>INF-55201-209</v>
      </c>
      <c r="I92" s="231" t="str">
        <f>IF(F92="","",VLOOKUP(F92,'SELECT KELAS GENAP'!C$8:N$175,3,FALSE))</f>
        <v>Otomata</v>
      </c>
      <c r="J92" s="52" t="str">
        <f>IF(F92="","",VLOOKUP(F92,'SELECT KELAS GENAP'!C$8:N$181,12,FALSE))</f>
        <v>NS / KH</v>
      </c>
      <c r="K92" s="237" t="str">
        <f>IF(F92="","",VLOOKUP(F92,'SELECT KELAS GENAP'!C$8:N$181,8,FALSE))</f>
        <v>NS</v>
      </c>
      <c r="L92" s="237" t="str">
        <f>IF(F92="","",VLOOKUP(F92,'SELECT KELAS GENAP'!C$8:N$181,10,FALSE))</f>
        <v>KH</v>
      </c>
      <c r="M92" s="52" t="str">
        <f>IF(F92="","",VLOOKUP(F92,'SELECT KELAS GENAP'!C$8:N$181,6,FALSE))</f>
        <v>B</v>
      </c>
      <c r="N92" s="52">
        <f>IF(F92="","",VLOOKUP(F92,'SELECT KELAS GENAP'!C$8:N$181,4,FALSE))</f>
        <v>4</v>
      </c>
      <c r="O92" s="52">
        <f>IF(F92="","",VLOOKUP(F92,'SELECT KELAS GENAP'!C$8:N$181,5,FALSE))</f>
        <v>2</v>
      </c>
      <c r="P92" s="52">
        <f>IF(F92="","",VLOOKUP(F92,'SELECT KELAS GENAP'!C$8:W$181,21,FALSE))</f>
        <v>28</v>
      </c>
      <c r="Q92" s="52" t="str">
        <f>IF(F92="","",VLOOKUP(F92,'SELECT KELAS GENAP'!C$8:N$181,7,FALSE))</f>
        <v>Novi Safriadi, S.T., M.T.</v>
      </c>
      <c r="R92" s="52" t="str">
        <f>IF(F92="","",VLOOKUP(F92,'SELECT KELAS GENAP'!C$8:N$181,9,FALSE))</f>
        <v>Khairul Hafidh, S.T., M.Kom.</v>
      </c>
      <c r="S92" s="98" t="str">
        <f>IF(F92="","",VLOOKUP(F92,'SELECT KELAS GENAP'!C$8:N$181,11,FALSE))</f>
        <v>Novi Safriadi, S.T., M.T. / Khairul Hafidh, S.T., M.Kom.</v>
      </c>
      <c r="T92" s="52"/>
      <c r="U92" s="206">
        <f t="shared" si="46"/>
        <v>0.3888888888888889</v>
      </c>
      <c r="V92" s="206">
        <f t="shared" si="45"/>
        <v>0.45833333333333337</v>
      </c>
    </row>
    <row r="93" spans="2:22" ht="34.950000000000003" customHeight="1" x14ac:dyDescent="0.3">
      <c r="B93" s="51" t="str">
        <f t="shared" si="49"/>
        <v>Kamis</v>
      </c>
      <c r="C93" s="51">
        <v>0.3888888888888889</v>
      </c>
      <c r="D93" s="51" t="str">
        <f t="shared" si="47"/>
        <v>s/d</v>
      </c>
      <c r="E93" s="51">
        <f t="shared" si="48"/>
        <v>0.49305555555555558</v>
      </c>
      <c r="F93" s="101" t="s">
        <v>585</v>
      </c>
      <c r="G93" s="115" t="s">
        <v>394</v>
      </c>
      <c r="H93" s="52" t="str">
        <f>IF(F93="","",VLOOKUP(F93,'SELECT KELAS GENAP'!C$8:N$181,2,FALSE))</f>
        <v xml:space="preserve"> INF-55201-309</v>
      </c>
      <c r="I93" s="231" t="str">
        <f>IF(F93="","",VLOOKUP(F93,'SELECT KELAS GENAP'!C$8:N$175,3,FALSE))</f>
        <v>Keamanan  Informasi  dan  Jaringan*</v>
      </c>
      <c r="J93" s="52" t="str">
        <f>IF(F93="","",VLOOKUP(F93,'SELECT KELAS GENAP'!C$8:N$181,12,FALSE))</f>
        <v>HN / AAJ</v>
      </c>
      <c r="K93" s="237" t="str">
        <f>IF(F93="","",VLOOKUP(F93,'SELECT KELAS GENAP'!C$8:N$181,8,FALSE))</f>
        <v>HN</v>
      </c>
      <c r="L93" s="237" t="str">
        <f>IF(F93="","",VLOOKUP(F93,'SELECT KELAS GENAP'!C$8:N$181,10,FALSE))</f>
        <v>AAJ</v>
      </c>
      <c r="M93" s="52" t="str">
        <f>IF(F93="","",VLOOKUP(F93,'SELECT KELAS GENAP'!C$8:N$181,6,FALSE))</f>
        <v>D</v>
      </c>
      <c r="N93" s="52">
        <f>IF(F93="","",VLOOKUP(F93,'SELECT KELAS GENAP'!C$8:N$181,4,FALSE))</f>
        <v>6</v>
      </c>
      <c r="O93" s="52">
        <f>IF(F93="","",VLOOKUP(F93,'SELECT KELAS GENAP'!C$8:N$181,5,FALSE))</f>
        <v>3</v>
      </c>
      <c r="P93" s="52">
        <f>IF(F93="","",VLOOKUP(F93,'SELECT KELAS GENAP'!C$8:W$181,21,FALSE))</f>
        <v>28</v>
      </c>
      <c r="Q93" s="52" t="str">
        <f>IF(F93="","",VLOOKUP(F93,'SELECT KELAS GENAP'!C$8:N$181,7,FALSE))</f>
        <v>Haried Novriando, S.Kom, M.Eng</v>
      </c>
      <c r="R93" s="52" t="str">
        <f>IF(F93="","",VLOOKUP(F93,'SELECT KELAS GENAP'!C$8:N$181,9,FALSE))</f>
        <v>Alfian Abdul Jalid, S.Kom., M.Cs.</v>
      </c>
      <c r="S93" s="98" t="str">
        <f>IF(F93="","",VLOOKUP(F93,'SELECT KELAS GENAP'!C$8:N$181,11,FALSE))</f>
        <v>Haried Novriando, S.Kom, M.Eng / Alfian Abdul Jalid, S.Kom., M.Cs.</v>
      </c>
      <c r="T93" s="52"/>
      <c r="U93" s="206">
        <f t="shared" si="46"/>
        <v>0.3888888888888889</v>
      </c>
      <c r="V93" s="206">
        <f t="shared" si="45"/>
        <v>0.49305555555555558</v>
      </c>
    </row>
    <row r="94" spans="2:22" ht="34.950000000000003" customHeight="1" x14ac:dyDescent="0.3">
      <c r="B94" s="51" t="str">
        <f t="shared" si="49"/>
        <v>Kamis</v>
      </c>
      <c r="C94" s="51">
        <v>0.3888888888888889</v>
      </c>
      <c r="D94" s="51" t="str">
        <f t="shared" si="47"/>
        <v>s/d</v>
      </c>
      <c r="E94" s="51">
        <f t="shared" si="48"/>
        <v>0.49305555555555558</v>
      </c>
      <c r="F94" s="101" t="s">
        <v>552</v>
      </c>
      <c r="G94" s="115" t="s">
        <v>394</v>
      </c>
      <c r="H94" s="52" t="str">
        <f>IF(F94="","",VLOOKUP(F94,'SELECT KELAS GENAP'!C$8:N$181,2,FALSE))</f>
        <v xml:space="preserve"> INF-55201-313</v>
      </c>
      <c r="I94" s="231" t="str">
        <f>IF(F94="","",VLOOKUP(F94,'SELECT KELAS GENAP'!C$8:N$175,3,FALSE))</f>
        <v>MK Pilihan Wajib Komputasi (PBA)</v>
      </c>
      <c r="J94" s="52" t="str">
        <f>IF(F94="","",VLOOKUP(F94,'SELECT KELAS GENAP'!C$8:N$181,12,FALSE))</f>
        <v>ABP / HS</v>
      </c>
      <c r="K94" s="237" t="str">
        <f>IF(F94="","",VLOOKUP(F94,'SELECT KELAS GENAP'!C$8:N$181,8,FALSE))</f>
        <v>ABP</v>
      </c>
      <c r="L94" s="237" t="str">
        <f>IF(F94="","",VLOOKUP(F94,'SELECT KELAS GENAP'!C$8:N$181,10,FALSE))</f>
        <v>HS</v>
      </c>
      <c r="M94" s="52" t="str">
        <f>IF(F94="","",VLOOKUP(F94,'SELECT KELAS GENAP'!C$8:N$181,6,FALSE))</f>
        <v>C</v>
      </c>
      <c r="N94" s="52">
        <f>IF(F94="","",VLOOKUP(F94,'SELECT KELAS GENAP'!C$8:N$181,4,FALSE))</f>
        <v>6</v>
      </c>
      <c r="O94" s="52">
        <f>IF(F94="","",VLOOKUP(F94,'SELECT KELAS GENAP'!C$8:N$181,5,FALSE))</f>
        <v>3</v>
      </c>
      <c r="P94" s="52">
        <f>IF(F94="","",VLOOKUP(F94,'SELECT KELAS GENAP'!C$8:W$181,21,FALSE))</f>
        <v>28</v>
      </c>
      <c r="Q94" s="52" t="str">
        <f>IF(F94="","",VLOOKUP(F94,'SELECT KELAS GENAP'!C$8:N$181,7,FALSE))</f>
        <v>Dr. Arif BPN, S.T., M.T.</v>
      </c>
      <c r="R94" s="52" t="str">
        <f>IF(F94="","",VLOOKUP(F94,'SELECT KELAS GENAP'!C$8:N$181,9,FALSE))</f>
        <v>Dr. Herry Sujaini, S.T., M.T.</v>
      </c>
      <c r="S94" s="98" t="str">
        <f>IF(F94="","",VLOOKUP(F94,'SELECT KELAS GENAP'!C$8:N$181,11,FALSE))</f>
        <v>Dr. Arif BPN, S.T., M.T. / Dr. Herry Sujaini, S.T., M.T.</v>
      </c>
      <c r="T94" s="52"/>
      <c r="U94" s="206">
        <f t="shared" si="46"/>
        <v>0.3888888888888889</v>
      </c>
      <c r="V94" s="206">
        <f t="shared" si="45"/>
        <v>0.49305555555555558</v>
      </c>
    </row>
    <row r="95" spans="2:22" ht="34.950000000000003" customHeight="1" x14ac:dyDescent="0.3">
      <c r="B95" s="51" t="str">
        <f t="shared" si="49"/>
        <v>Kamis</v>
      </c>
      <c r="C95" s="51">
        <v>0.3888888888888889</v>
      </c>
      <c r="D95" s="51" t="str">
        <f t="shared" si="47"/>
        <v>s/d</v>
      </c>
      <c r="E95" s="51">
        <f t="shared" si="48"/>
        <v>0.49305555555555558</v>
      </c>
      <c r="F95" s="101" t="s">
        <v>597</v>
      </c>
      <c r="G95" s="115"/>
      <c r="H95" s="52" t="str">
        <f>IF(F95="","",VLOOKUP(F95,'SELECT KELAS GENAP'!C$8:N$181,2,FALSE))</f>
        <v>INF­55201­516</v>
      </c>
      <c r="I95" s="231" t="str">
        <f>IF(F95="","",VLOOKUP(F95,'SELECT KELAS GENAP'!C$8:N$175,3,FALSE))</f>
        <v xml:space="preserve">Data  Mining  </v>
      </c>
      <c r="J95" s="52" t="str">
        <f>IF(F95="","",VLOOKUP(F95,'SELECT KELAS GENAP'!C$8:N$181,12,FALSE))</f>
        <v>EE / NC</v>
      </c>
      <c r="K95" s="237" t="str">
        <f>IF(F95="","",VLOOKUP(F95,'SELECT KELAS GENAP'!C$8:N$181,8,FALSE))</f>
        <v>EE</v>
      </c>
      <c r="L95" s="237" t="str">
        <f>IF(F95="","",VLOOKUP(F95,'SELECT KELAS GENAP'!C$8:N$181,10,FALSE))</f>
        <v>NC</v>
      </c>
      <c r="M95" s="52" t="str">
        <f>IF(F95="","",VLOOKUP(F95,'SELECT KELAS GENAP'!C$8:N$181,6,FALSE))</f>
        <v>A</v>
      </c>
      <c r="N95" s="52">
        <f>IF(F95="","",VLOOKUP(F95,'SELECT KELAS GENAP'!C$8:N$181,4,FALSE))</f>
        <v>6</v>
      </c>
      <c r="O95" s="52">
        <f>IF(F95="","",VLOOKUP(F95,'SELECT KELAS GENAP'!C$8:N$181,5,FALSE))</f>
        <v>3</v>
      </c>
      <c r="P95" s="52">
        <f>IF(F95="","",VLOOKUP(F95,'SELECT KELAS GENAP'!C$8:W$181,21,FALSE))</f>
        <v>28</v>
      </c>
      <c r="Q95" s="52" t="str">
        <f>IF(F95="","",VLOOKUP(F95,'SELECT KELAS GENAP'!C$8:N$181,7,FALSE))</f>
        <v>Enda Esyudha Pratama, S.T., M.T.</v>
      </c>
      <c r="R95" s="52" t="str">
        <f>IF(F95="","",VLOOKUP(F95,'SELECT KELAS GENAP'!C$8:N$181,9,FALSE))</f>
        <v>Niken Candraningrum, S.T., M.Cs.</v>
      </c>
      <c r="S95" s="98" t="str">
        <f>IF(F95="","",VLOOKUP(F95,'SELECT KELAS GENAP'!C$8:N$181,11,FALSE))</f>
        <v>Enda Esyudha Pratama, S.T., M.T. / Niken Candraningrum, S.T., M.Cs.</v>
      </c>
      <c r="T95" s="52"/>
      <c r="U95" s="206">
        <f t="shared" si="46"/>
        <v>0.3888888888888889</v>
      </c>
      <c r="V95" s="206">
        <f t="shared" si="45"/>
        <v>0.49305555555555558</v>
      </c>
    </row>
    <row r="96" spans="2:22" ht="34.950000000000003" customHeight="1" x14ac:dyDescent="0.3">
      <c r="B96" s="51" t="str">
        <f t="shared" si="49"/>
        <v/>
      </c>
      <c r="C96" s="51"/>
      <c r="D96" s="51" t="str">
        <f t="shared" si="47"/>
        <v/>
      </c>
      <c r="E96" s="51" t="str">
        <f t="shared" si="48"/>
        <v/>
      </c>
      <c r="F96" s="101"/>
      <c r="G96" s="115" t="s">
        <v>394</v>
      </c>
      <c r="H96" s="52" t="str">
        <f>IF(F96="","",VLOOKUP(F96,'SELECT KELAS GENAP'!C$8:N$181,2,FALSE))</f>
        <v/>
      </c>
      <c r="I96" s="98" t="str">
        <f>IF(F96="","",VLOOKUP(F96,'SELECT KELAS GENAP'!C$8:N$175,3,FALSE))</f>
        <v/>
      </c>
      <c r="J96" s="52" t="str">
        <f>IF(F96="","",VLOOKUP(F96,'SELECT KELAS GENAP'!C$8:N$181,12,FALSE))</f>
        <v/>
      </c>
      <c r="K96" s="237"/>
      <c r="L96" s="237"/>
      <c r="M96" s="52"/>
      <c r="N96" s="52"/>
      <c r="O96" s="52"/>
      <c r="P96" s="52"/>
      <c r="Q96" s="52"/>
      <c r="R96" s="52"/>
      <c r="S96" s="98"/>
      <c r="T96" s="52"/>
      <c r="U96" s="206">
        <f t="shared" si="46"/>
        <v>0</v>
      </c>
      <c r="V96" s="206" t="str">
        <f t="shared" si="45"/>
        <v/>
      </c>
    </row>
    <row r="97" spans="2:22" ht="34.950000000000003" customHeight="1" x14ac:dyDescent="0.3">
      <c r="B97" s="51" t="str">
        <f t="shared" si="49"/>
        <v>Kamis</v>
      </c>
      <c r="C97" s="51">
        <v>0.53125</v>
      </c>
      <c r="D97" s="51" t="str">
        <f t="shared" si="47"/>
        <v>s/d</v>
      </c>
      <c r="E97" s="51">
        <f t="shared" si="48"/>
        <v>0.63541666666666663</v>
      </c>
      <c r="F97" s="101" t="s">
        <v>517</v>
      </c>
      <c r="G97" s="115" t="s">
        <v>394</v>
      </c>
      <c r="H97" s="52" t="str">
        <f>IF(F97="","",VLOOKUP(F97,'SELECT KELAS GENAP'!C$8:N$181,2,FALSE))</f>
        <v>INF-55201-108</v>
      </c>
      <c r="I97" s="230" t="str">
        <f>IF(F97="","",VLOOKUP(F97,'SELECT KELAS GENAP'!C$8:N$175,3,FALSE))</f>
        <v>Dasar rekayasa perangkat lunak</v>
      </c>
      <c r="J97" s="52" t="str">
        <f>IF(F97="","",VLOOKUP(F97,'SELECT KELAS GENAP'!C$8:N$181,12,FALSE))</f>
        <v>YS / DIU</v>
      </c>
      <c r="K97" s="237" t="str">
        <f>IF(F97="","",VLOOKUP(F97,'SELECT KELAS GENAP'!C$8:N$181,8,FALSE))</f>
        <v>YS</v>
      </c>
      <c r="L97" s="237" t="str">
        <f>IF(F97="","",VLOOKUP(F97,'SELECT KELAS GENAP'!C$8:N$181,10,FALSE))</f>
        <v>DIU</v>
      </c>
      <c r="M97" s="52" t="str">
        <f>IF(F97="","",VLOOKUP(F97,'SELECT KELAS GENAP'!C$8:N$181,6,FALSE))</f>
        <v>A</v>
      </c>
      <c r="N97" s="52">
        <f>IF(F97="","",VLOOKUP(F97,'SELECT KELAS GENAP'!C$8:N$181,4,FALSE))</f>
        <v>2</v>
      </c>
      <c r="O97" s="52">
        <f>IF(F97="","",VLOOKUP(F97,'SELECT KELAS GENAP'!C$8:N$181,5,FALSE))</f>
        <v>3</v>
      </c>
      <c r="P97" s="52">
        <f>IF(F97="","",VLOOKUP(F97,'SELECT KELAS GENAP'!C$8:W$181,21,FALSE))</f>
        <v>28</v>
      </c>
      <c r="Q97" s="52" t="str">
        <f>IF(F97="","",VLOOKUP(F97,'SELECT KELAS GENAP'!C$8:N$181,7,FALSE))</f>
        <v>Dr. Yus Sholva, S.T., M.T.</v>
      </c>
      <c r="R97" s="52" t="str">
        <f>IF(F97="","",VLOOKUP(F97,'SELECT KELAS GENAP'!C$8:N$181,9,FALSE))</f>
        <v>Desepta Isna Ulumi, S.Kom, M.Kom.</v>
      </c>
      <c r="S97" s="98" t="str">
        <f>IF(F97="","",VLOOKUP(F97,'SELECT KELAS GENAP'!C$8:N$181,11,FALSE))</f>
        <v>Dr. Yus Sholva, S.T., M.T. / Desepta Isna Ulumi, S.Kom, M.Kom.</v>
      </c>
      <c r="T97" s="52"/>
      <c r="U97" s="206">
        <f t="shared" si="46"/>
        <v>0.53125</v>
      </c>
      <c r="V97" s="206">
        <f t="shared" si="45"/>
        <v>0.63541666666666663</v>
      </c>
    </row>
    <row r="98" spans="2:22" ht="34.950000000000003" customHeight="1" x14ac:dyDescent="0.3">
      <c r="B98" s="51" t="str">
        <f t="shared" si="49"/>
        <v>Kamis</v>
      </c>
      <c r="C98" s="51">
        <v>0.53125</v>
      </c>
      <c r="D98" s="51" t="str">
        <f t="shared" si="47"/>
        <v>s/d</v>
      </c>
      <c r="E98" s="51">
        <f t="shared" si="48"/>
        <v>0.63541666666666663</v>
      </c>
      <c r="F98" s="101" t="s">
        <v>556</v>
      </c>
      <c r="G98" s="115" t="s">
        <v>394</v>
      </c>
      <c r="H98" s="52" t="str">
        <f>IF(F98="","",VLOOKUP(F98,'SELECT KELAS GENAP'!C$8:N$181,2,FALSE))</f>
        <v>INF-55201-106</v>
      </c>
      <c r="I98" s="230" t="str">
        <f>IF(F98="","",VLOOKUP(F98,'SELECT KELAS GENAP'!C$8:N$175,3,FALSE))</f>
        <v>Matematika  Dasar II</v>
      </c>
      <c r="J98" s="52" t="str">
        <f>IF(F98="","",VLOOKUP(F98,'SELECT KELAS GENAP'!C$8:N$181,12,FALSE))</f>
        <v>RS / AS</v>
      </c>
      <c r="K98" s="237" t="str">
        <f>IF(F98="","",VLOOKUP(F98,'SELECT KELAS GENAP'!C$8:N$181,8,FALSE))</f>
        <v>RS</v>
      </c>
      <c r="L98" s="237" t="str">
        <f>IF(F98="","",VLOOKUP(F98,'SELECT KELAS GENAP'!C$8:N$181,10,FALSE))</f>
        <v>AS</v>
      </c>
      <c r="M98" s="52" t="str">
        <f>IF(F98="","",VLOOKUP(F98,'SELECT KELAS GENAP'!C$8:N$181,6,FALSE))</f>
        <v>B</v>
      </c>
      <c r="N98" s="52">
        <f>IF(F98="","",VLOOKUP(F98,'SELECT KELAS GENAP'!C$8:N$181,4,FALSE))</f>
        <v>2</v>
      </c>
      <c r="O98" s="52">
        <f>IF(F98="","",VLOOKUP(F98,'SELECT KELAS GENAP'!C$8:N$181,5,FALSE))</f>
        <v>3</v>
      </c>
      <c r="P98" s="52">
        <f>IF(F98="","",VLOOKUP(F98,'SELECT KELAS GENAP'!C$8:W$181,21,FALSE))</f>
        <v>28</v>
      </c>
      <c r="Q98" s="52" t="str">
        <f>IF(F98="","",VLOOKUP(F98,'SELECT KELAS GENAP'!C$8:N$181,7,FALSE))</f>
        <v>Rina Septiriana, S.T., M.Cs.</v>
      </c>
      <c r="R98" s="52" t="str">
        <f>IF(F98="","",VLOOKUP(F98,'SELECT KELAS GENAP'!C$8:N$181,9,FALSE))</f>
        <v>Anggi Srimurdianti, S.T., M.T.</v>
      </c>
      <c r="S98" s="98" t="str">
        <f>IF(F98="","",VLOOKUP(F98,'SELECT KELAS GENAP'!C$8:N$181,11,FALSE))</f>
        <v>Rina Septiriana, S.T., M.Cs. / Anggi Srimurdianti, S.T., M.T.</v>
      </c>
      <c r="T98" s="52"/>
      <c r="U98" s="206">
        <f t="shared" si="46"/>
        <v>0.53125</v>
      </c>
      <c r="V98" s="206">
        <f t="shared" si="45"/>
        <v>0.63541666666666663</v>
      </c>
    </row>
    <row r="99" spans="2:22" ht="34.950000000000003" customHeight="1" x14ac:dyDescent="0.3">
      <c r="B99" s="51" t="str">
        <f t="shared" si="49"/>
        <v>Kamis</v>
      </c>
      <c r="C99" s="51">
        <v>0.53125</v>
      </c>
      <c r="D99" s="51" t="str">
        <f t="shared" si="47"/>
        <v>s/d</v>
      </c>
      <c r="E99" s="51">
        <f t="shared" si="48"/>
        <v>0.63541666666666663</v>
      </c>
      <c r="F99" s="101" t="s">
        <v>600</v>
      </c>
      <c r="G99" s="115" t="s">
        <v>394</v>
      </c>
      <c r="H99" s="52" t="str">
        <f>IF(F99="","",VLOOKUP(F99,'SELECT KELAS GENAP'!C$8:N$181,2,FALSE))</f>
        <v>INF-55201-214</v>
      </c>
      <c r="I99" s="230" t="str">
        <f>IF(F99="","",VLOOKUP(F99,'SELECT KELAS GENAP'!C$8:N$175,3,FALSE))</f>
        <v>Sistem Pendukung Keputusan</v>
      </c>
      <c r="J99" s="52" t="str">
        <f>IF(F99="","",VLOOKUP(F99,'SELECT KELAS GENAP'!C$8:N$181,12,FALSE))</f>
        <v>TR</v>
      </c>
      <c r="K99" s="237" t="str">
        <f>IF(F99="","",VLOOKUP(F99,'SELECT KELAS GENAP'!C$8:N$181,8,FALSE))</f>
        <v>TR</v>
      </c>
      <c r="L99" s="237" t="str">
        <f>IF(F99="","",VLOOKUP(F99,'SELECT KELAS GENAP'!C$8:N$181,10,FALSE))</f>
        <v>-</v>
      </c>
      <c r="M99" s="52" t="str">
        <f>IF(F99="","",VLOOKUP(F99,'SELECT KELAS GENAP'!C$8:N$181,6,FALSE))</f>
        <v>C</v>
      </c>
      <c r="N99" s="52">
        <f>IF(F99="","",VLOOKUP(F99,'SELECT KELAS GENAP'!C$8:N$181,4,FALSE))</f>
        <v>4</v>
      </c>
      <c r="O99" s="52">
        <f>IF(F99="","",VLOOKUP(F99,'SELECT KELAS GENAP'!C$8:N$181,5,FALSE))</f>
        <v>3</v>
      </c>
      <c r="P99" s="52">
        <f>IF(F99="","",VLOOKUP(F99,'SELECT KELAS GENAP'!C$8:W$181,21,FALSE))</f>
        <v>28</v>
      </c>
      <c r="Q99" s="52" t="str">
        <f>IF(F99="","",VLOOKUP(F99,'SELECT KELAS GENAP'!C$8:N$181,7,FALSE))</f>
        <v>Tursina ST, M.Cs</v>
      </c>
      <c r="R99" s="52" t="str">
        <f>IF(F99="","",VLOOKUP(F99,'SELECT KELAS GENAP'!C$8:N$181,9,FALSE))</f>
        <v>None</v>
      </c>
      <c r="S99" s="98" t="str">
        <f>IF(F99="","",VLOOKUP(F99,'SELECT KELAS GENAP'!C$8:N$181,11,FALSE))</f>
        <v>Tursina ST, M.Cs</v>
      </c>
      <c r="T99" s="52"/>
      <c r="U99" s="206">
        <f t="shared" si="46"/>
        <v>0.53125</v>
      </c>
      <c r="V99" s="206">
        <f t="shared" si="45"/>
        <v>0.63541666666666663</v>
      </c>
    </row>
    <row r="100" spans="2:22" ht="34.950000000000003" customHeight="1" x14ac:dyDescent="0.3">
      <c r="B100" s="51" t="str">
        <f t="shared" si="49"/>
        <v>Kamis</v>
      </c>
      <c r="C100" s="51">
        <v>0.53125</v>
      </c>
      <c r="D100" s="51" t="str">
        <f t="shared" si="47"/>
        <v>s/d</v>
      </c>
      <c r="E100" s="51">
        <f t="shared" si="48"/>
        <v>0.60069444444444442</v>
      </c>
      <c r="F100" s="101" t="s">
        <v>566</v>
      </c>
      <c r="G100" s="115" t="s">
        <v>394</v>
      </c>
      <c r="H100" s="52" t="str">
        <f>IF(F100="","",VLOOKUP(F100,'SELECT KELAS GENAP'!C$8:N$181,2,FALSE))</f>
        <v>INF-55201-209</v>
      </c>
      <c r="I100" s="230" t="str">
        <f>IF(F100="","",VLOOKUP(F100,'SELECT KELAS GENAP'!C$8:N$175,3,FALSE))</f>
        <v>Otomata</v>
      </c>
      <c r="J100" s="52" t="str">
        <f>IF(F100="","",VLOOKUP(F100,'SELECT KELAS GENAP'!C$8:N$181,12,FALSE))</f>
        <v>NS / KH</v>
      </c>
      <c r="K100" s="237" t="str">
        <f>IF(F100="","",VLOOKUP(F100,'SELECT KELAS GENAP'!C$8:N$181,8,FALSE))</f>
        <v>NS</v>
      </c>
      <c r="L100" s="237" t="str">
        <f>IF(F100="","",VLOOKUP(F100,'SELECT KELAS GENAP'!C$8:N$181,10,FALSE))</f>
        <v>KH</v>
      </c>
      <c r="M100" s="52" t="str">
        <f>IF(F100="","",VLOOKUP(F100,'SELECT KELAS GENAP'!C$8:N$181,6,FALSE))</f>
        <v>D</v>
      </c>
      <c r="N100" s="52">
        <f>IF(F100="","",VLOOKUP(F100,'SELECT KELAS GENAP'!C$8:N$181,4,FALSE))</f>
        <v>4</v>
      </c>
      <c r="O100" s="52">
        <f>IF(F100="","",VLOOKUP(F100,'SELECT KELAS GENAP'!C$8:N$181,5,FALSE))</f>
        <v>2</v>
      </c>
      <c r="P100" s="52">
        <f>IF(F100="","",VLOOKUP(F100,'SELECT KELAS GENAP'!C$8:W$181,21,FALSE))</f>
        <v>28</v>
      </c>
      <c r="Q100" s="52" t="str">
        <f>IF(F100="","",VLOOKUP(F100,'SELECT KELAS GENAP'!C$8:N$181,7,FALSE))</f>
        <v>Novi Safriadi, S.T., M.T.</v>
      </c>
      <c r="R100" s="52" t="str">
        <f>IF(F100="","",VLOOKUP(F100,'SELECT KELAS GENAP'!C$8:N$181,9,FALSE))</f>
        <v>Khairul Hafidh, S.T., M.Kom.</v>
      </c>
      <c r="S100" s="98" t="str">
        <f>IF(F100="","",VLOOKUP(F100,'SELECT KELAS GENAP'!C$8:N$181,11,FALSE))</f>
        <v>Novi Safriadi, S.T., M.T. / Khairul Hafidh, S.T., M.Kom.</v>
      </c>
      <c r="T100" s="52"/>
      <c r="U100" s="206">
        <f t="shared" si="46"/>
        <v>0.53125</v>
      </c>
      <c r="V100" s="206">
        <f t="shared" si="45"/>
        <v>0.60069444444444442</v>
      </c>
    </row>
    <row r="101" spans="2:22" ht="34.950000000000003" customHeight="1" x14ac:dyDescent="0.3">
      <c r="B101" s="51" t="str">
        <f t="shared" si="49"/>
        <v>Kamis</v>
      </c>
      <c r="C101" s="51">
        <v>0.53125</v>
      </c>
      <c r="D101" s="51" t="str">
        <f t="shared" ref="D101" si="54">IF(C101="","","s/d")</f>
        <v>s/d</v>
      </c>
      <c r="E101" s="51">
        <f t="shared" ref="E101" si="55">IF(O101="","",(IF(O101=4,C101+TIME(0,2*50,0),C101+TIME(0,O101*50,0))))</f>
        <v>0.63541666666666663</v>
      </c>
      <c r="F101" s="101" t="s">
        <v>522</v>
      </c>
      <c r="G101" s="115"/>
      <c r="H101" s="52" t="str">
        <f>IF(F101="","",VLOOKUP(F101,'SELECT KELAS GENAP'!C$8:N$181,2,FALSE))</f>
        <v xml:space="preserve"> INF-55201-309</v>
      </c>
      <c r="I101" s="230" t="str">
        <f>IF(F101="","",VLOOKUP(F101,'SELECT KELAS GENAP'!C$8:N$175,3,FALSE))</f>
        <v>Keamanan  Informasi  dan  Jaringan*</v>
      </c>
      <c r="J101" s="52" t="str">
        <f>IF(F101="","",VLOOKUP(F101,'SELECT KELAS GENAP'!C$8:N$181,12,FALSE))</f>
        <v>AI / AAJ</v>
      </c>
      <c r="K101" s="237" t="str">
        <f>IF(F101="","",VLOOKUP(F101,'SELECT KELAS GENAP'!C$8:N$181,8,FALSE))</f>
        <v>AI</v>
      </c>
      <c r="L101" s="237" t="str">
        <f>IF(F101="","",VLOOKUP(F101,'SELECT KELAS GENAP'!C$8:N$181,10,FALSE))</f>
        <v>AAJ</v>
      </c>
      <c r="M101" s="52" t="str">
        <f>IF(F101="","",VLOOKUP(F101,'SELECT KELAS GENAP'!C$8:N$181,6,FALSE))</f>
        <v>A</v>
      </c>
      <c r="N101" s="52">
        <f>IF(F101="","",VLOOKUP(F101,'SELECT KELAS GENAP'!C$8:N$181,4,FALSE))</f>
        <v>6</v>
      </c>
      <c r="O101" s="52">
        <f>IF(F101="","",VLOOKUP(F101,'SELECT KELAS GENAP'!C$8:N$181,5,FALSE))</f>
        <v>3</v>
      </c>
      <c r="P101" s="52">
        <f>IF(F101="","",VLOOKUP(F101,'SELECT KELAS GENAP'!C$8:W$181,21,FALSE))</f>
        <v>28</v>
      </c>
      <c r="Q101" s="52" t="str">
        <f>IF(F101="","",VLOOKUP(F101,'SELECT KELAS GENAP'!C$8:N$181,7,FALSE))</f>
        <v>M.Azhar Irwansyah, S.T.,M.Eng.</v>
      </c>
      <c r="R101" s="52" t="str">
        <f>IF(F101="","",VLOOKUP(F101,'SELECT KELAS GENAP'!C$8:N$181,9,FALSE))</f>
        <v>Alfian Abdul Jalid, S.Kom., M.Cs.</v>
      </c>
      <c r="S101" s="98" t="str">
        <f>IF(F101="","",VLOOKUP(F101,'SELECT KELAS GENAP'!C$8:N$181,11,FALSE))</f>
        <v>M.Azhar Irwansyah, S.T.,M.Eng. / Alfian Abdul Jalid, S.Kom., M.Cs.</v>
      </c>
      <c r="T101" s="52"/>
      <c r="U101" s="206">
        <f t="shared" si="46"/>
        <v>0.53125</v>
      </c>
      <c r="V101" s="206"/>
    </row>
    <row r="102" spans="2:22" ht="34.950000000000003" customHeight="1" x14ac:dyDescent="0.3">
      <c r="B102" s="51" t="str">
        <f t="shared" si="49"/>
        <v>Kamis</v>
      </c>
      <c r="C102" s="51">
        <v>0.53125</v>
      </c>
      <c r="D102" s="51" t="str">
        <f t="shared" si="47"/>
        <v>s/d</v>
      </c>
      <c r="E102" s="51">
        <f t="shared" si="48"/>
        <v>0.63541666666666663</v>
      </c>
      <c r="F102" s="101" t="s">
        <v>551</v>
      </c>
      <c r="G102" s="115" t="s">
        <v>394</v>
      </c>
      <c r="H102" s="52" t="str">
        <f>IF(F102="","",VLOOKUP(F102,'SELECT KELAS GENAP'!C$8:N$181,2,FALSE))</f>
        <v xml:space="preserve"> INF-55201-313</v>
      </c>
      <c r="I102" s="230" t="str">
        <f>IF(F102="","",VLOOKUP(F102,'SELECT KELAS GENAP'!C$8:N$175,3,FALSE))</f>
        <v>MK Pilihan Wajib Komputasi (PBA)</v>
      </c>
      <c r="J102" s="52" t="str">
        <f>IF(F102="","",VLOOKUP(F102,'SELECT KELAS GENAP'!C$8:N$181,12,FALSE))</f>
        <v>HS / ABP</v>
      </c>
      <c r="K102" s="237" t="str">
        <f>IF(F102="","",VLOOKUP(F102,'SELECT KELAS GENAP'!C$8:N$181,8,FALSE))</f>
        <v>HS</v>
      </c>
      <c r="L102" s="237" t="str">
        <f>IF(F102="","",VLOOKUP(F102,'SELECT KELAS GENAP'!C$8:N$181,10,FALSE))</f>
        <v>ABP</v>
      </c>
      <c r="M102" s="52" t="str">
        <f>IF(F102="","",VLOOKUP(F102,'SELECT KELAS GENAP'!C$8:N$181,6,FALSE))</f>
        <v>B</v>
      </c>
      <c r="N102" s="52">
        <f>IF(F102="","",VLOOKUP(F102,'SELECT KELAS GENAP'!C$8:N$181,4,FALSE))</f>
        <v>6</v>
      </c>
      <c r="O102" s="52">
        <f>IF(F102="","",VLOOKUP(F102,'SELECT KELAS GENAP'!C$8:N$181,5,FALSE))</f>
        <v>3</v>
      </c>
      <c r="P102" s="52">
        <f>IF(F102="","",VLOOKUP(F102,'SELECT KELAS GENAP'!C$8:W$181,21,FALSE))</f>
        <v>28</v>
      </c>
      <c r="Q102" s="52" t="str">
        <f>IF(F102="","",VLOOKUP(F102,'SELECT KELAS GENAP'!C$8:N$181,7,FALSE))</f>
        <v>Dr. Herry Sujaini, S.T., M.T.</v>
      </c>
      <c r="R102" s="52" t="str">
        <f>IF(F102="","",VLOOKUP(F102,'SELECT KELAS GENAP'!C$8:N$181,9,FALSE))</f>
        <v>Dr. Arif BPN, S.T., M.T.</v>
      </c>
      <c r="S102" s="98" t="str">
        <f>IF(F102="","",VLOOKUP(F102,'SELECT KELAS GENAP'!C$8:N$181,11,FALSE))</f>
        <v>Dr. Herry Sujaini, S.T., M.T. / Dr. Arif BPN, S.T., M.T.</v>
      </c>
      <c r="T102" s="52"/>
      <c r="U102" s="206">
        <f t="shared" si="46"/>
        <v>0.53125</v>
      </c>
      <c r="V102" s="206">
        <f t="shared" si="45"/>
        <v>0.63541666666666663</v>
      </c>
    </row>
    <row r="103" spans="2:22" ht="34.950000000000003" customHeight="1" x14ac:dyDescent="0.3">
      <c r="B103" s="51" t="str">
        <f t="shared" si="49"/>
        <v/>
      </c>
      <c r="C103" s="51"/>
      <c r="D103" s="51" t="str">
        <f t="shared" si="47"/>
        <v/>
      </c>
      <c r="E103" s="51" t="str">
        <f t="shared" si="48"/>
        <v/>
      </c>
      <c r="F103" s="101"/>
      <c r="G103" s="115" t="s">
        <v>394</v>
      </c>
      <c r="H103" s="52" t="str">
        <f>IF(F103="","",VLOOKUP(F103,'SELECT KELAS GENAP'!C$8:N$181,2,FALSE))</f>
        <v/>
      </c>
      <c r="I103" s="98" t="str">
        <f>IF(F103="","",VLOOKUP(F103,'SELECT KELAS GENAP'!C$8:N$175,3,FALSE))</f>
        <v/>
      </c>
      <c r="J103" s="52" t="str">
        <f>IF(F103="","",VLOOKUP(F103,'SELECT KELAS GENAP'!C$8:N$181,12,FALSE))</f>
        <v/>
      </c>
      <c r="K103" s="237" t="str">
        <f>IF(F103="","",VLOOKUP(F103,'SELECT KELAS GENAP'!C$8:N$181,8,FALSE))</f>
        <v/>
      </c>
      <c r="L103" s="237" t="str">
        <f>IF(F103="","",VLOOKUP(F103,'SELECT KELAS GENAP'!C$8:N$181,10,FALSE))</f>
        <v/>
      </c>
      <c r="M103" s="52" t="str">
        <f>IF(F103="","",VLOOKUP(F103,'SELECT KELAS GENAP'!C$8:N$181,6,FALSE))</f>
        <v/>
      </c>
      <c r="N103" s="52" t="str">
        <f>IF(F103="","",VLOOKUP(F103,'SELECT KELAS GENAP'!C$8:N$181,4,FALSE))</f>
        <v/>
      </c>
      <c r="O103" s="52" t="str">
        <f>IF(F103="","",VLOOKUP(F103,'SELECT KELAS GENAP'!C$8:N$181,5,FALSE))</f>
        <v/>
      </c>
      <c r="P103" s="52" t="str">
        <f>IF(F103="","",VLOOKUP(F103,'SELECT KELAS GENAP'!C$8:W$181,21,FALSE))</f>
        <v/>
      </c>
      <c r="Q103" s="52" t="str">
        <f>IF(F103="","",VLOOKUP(F103,'SELECT KELAS GENAP'!C$8:N$181,7,FALSE))</f>
        <v/>
      </c>
      <c r="R103" s="52" t="str">
        <f>IF(F103="","",VLOOKUP(F103,'SELECT KELAS GENAP'!C$8:N$181,9,FALSE))</f>
        <v/>
      </c>
      <c r="S103" s="98" t="str">
        <f>IF(F103="","",VLOOKUP(F103,'SELECT KELAS GENAP'!C$8:N$181,11,FALSE))</f>
        <v/>
      </c>
      <c r="T103" s="52"/>
      <c r="U103" s="206">
        <f t="shared" si="46"/>
        <v>0</v>
      </c>
      <c r="V103" s="206" t="str">
        <f t="shared" si="45"/>
        <v/>
      </c>
    </row>
    <row r="104" spans="2:22" ht="34.950000000000003" customHeight="1" x14ac:dyDescent="0.3">
      <c r="B104" s="51" t="str">
        <f t="shared" si="49"/>
        <v/>
      </c>
      <c r="C104" s="51"/>
      <c r="D104" s="51" t="str">
        <f t="shared" si="47"/>
        <v/>
      </c>
      <c r="E104" s="51" t="str">
        <f t="shared" si="48"/>
        <v/>
      </c>
      <c r="F104" s="101"/>
      <c r="G104" s="115" t="s">
        <v>394</v>
      </c>
      <c r="H104" s="52" t="str">
        <f>IF(F104="","",VLOOKUP(F104,'SELECT KELAS GENAP'!C$8:N$181,2,FALSE))</f>
        <v/>
      </c>
      <c r="I104" s="236" t="str">
        <f>IF(F104="","",VLOOKUP(F104,'SELECT KELAS GENAP'!C$8:N$175,3,FALSE))</f>
        <v/>
      </c>
      <c r="J104" s="52" t="str">
        <f>IF(F104="","",VLOOKUP(F104,'SELECT KELAS GENAP'!C$8:N$181,12,FALSE))</f>
        <v/>
      </c>
      <c r="K104" s="237" t="str">
        <f>IF(F104="","",VLOOKUP(F104,'SELECT KELAS GENAP'!C$8:N$181,8,FALSE))</f>
        <v/>
      </c>
      <c r="L104" s="237" t="str">
        <f>IF(F104="","",VLOOKUP(F104,'SELECT KELAS GENAP'!C$8:N$181,10,FALSE))</f>
        <v/>
      </c>
      <c r="M104" s="52" t="str">
        <f>IF(F104="","",VLOOKUP(F104,'SELECT KELAS GENAP'!C$8:N$181,6,FALSE))</f>
        <v/>
      </c>
      <c r="N104" s="52" t="str">
        <f>IF(F104="","",VLOOKUP(F104,'SELECT KELAS GENAP'!C$8:N$181,4,FALSE))</f>
        <v/>
      </c>
      <c r="O104" s="52" t="str">
        <f>IF(F104="","",VLOOKUP(F104,'SELECT KELAS GENAP'!C$8:N$181,5,FALSE))</f>
        <v/>
      </c>
      <c r="P104" s="52" t="str">
        <f>IF(F104="","",VLOOKUP(F104,'SELECT KELAS GENAP'!C$8:W$181,21,FALSE))</f>
        <v/>
      </c>
      <c r="Q104" s="52" t="str">
        <f>IF(F104="","",VLOOKUP(F104,'SELECT KELAS GENAP'!C$8:N$181,7,FALSE))</f>
        <v/>
      </c>
      <c r="R104" s="52" t="str">
        <f>IF(F104="","",VLOOKUP(F104,'SELECT KELAS GENAP'!C$8:N$181,9,FALSE))</f>
        <v/>
      </c>
      <c r="S104" s="98" t="str">
        <f>IF(F104="","",VLOOKUP(F104,'SELECT KELAS GENAP'!C$8:N$181,11,FALSE))</f>
        <v/>
      </c>
      <c r="T104" s="52"/>
      <c r="U104" s="206">
        <f t="shared" si="46"/>
        <v>0</v>
      </c>
      <c r="V104" s="206" t="str">
        <f t="shared" si="45"/>
        <v/>
      </c>
    </row>
    <row r="105" spans="2:22" ht="34.950000000000003" customHeight="1" x14ac:dyDescent="0.3">
      <c r="B105" s="51" t="str">
        <f t="shared" si="49"/>
        <v>Kamis</v>
      </c>
      <c r="C105" s="51">
        <v>0.64236111111111105</v>
      </c>
      <c r="D105" s="51" t="str">
        <f t="shared" si="47"/>
        <v>s/d</v>
      </c>
      <c r="E105" s="51">
        <f t="shared" si="48"/>
        <v>0.71180555555555547</v>
      </c>
      <c r="F105" s="101" t="s">
        <v>531</v>
      </c>
      <c r="G105" s="115" t="s">
        <v>394</v>
      </c>
      <c r="H105" s="52" t="str">
        <f>IF(F105="","",VLOOKUP(F105,'SELECT KELAS GENAP'!C$8:N$181,2,FALSE))</f>
        <v>UMG-55201-104</v>
      </c>
      <c r="I105" s="236" t="str">
        <f>IF(F105="","",VLOOKUP(F105,'SELECT KELAS GENAP'!C$8:N$175,3,FALSE))</f>
        <v>Kewarganegaraan</v>
      </c>
      <c r="J105" s="52" t="str">
        <f>IF(F105="","",VLOOKUP(F105,'SELECT KELAS GENAP'!C$8:N$181,12,FALSE))</f>
        <v>MKU</v>
      </c>
      <c r="K105" s="237" t="str">
        <f>IF(F105="","",VLOOKUP(F105,'SELECT KELAS GENAP'!C$8:N$181,8,FALSE))</f>
        <v>MKU</v>
      </c>
      <c r="L105" s="237" t="str">
        <f>IF(F105="","",VLOOKUP(F105,'SELECT KELAS GENAP'!C$8:N$181,10,FALSE))</f>
        <v>-</v>
      </c>
      <c r="M105" s="52" t="str">
        <f>IF(F105="","",VLOOKUP(F105,'SELECT KELAS GENAP'!C$8:N$181,6,FALSE))</f>
        <v>A</v>
      </c>
      <c r="N105" s="52">
        <f>IF(F105="","",VLOOKUP(F105,'SELECT KELAS GENAP'!C$8:N$181,4,FALSE))</f>
        <v>2</v>
      </c>
      <c r="O105" s="52">
        <f>IF(F105="","",VLOOKUP(F105,'SELECT KELAS GENAP'!C$8:N$181,5,FALSE))</f>
        <v>2</v>
      </c>
      <c r="P105" s="52">
        <f>IF(F105="","",VLOOKUP(F105,'SELECT KELAS GENAP'!C$8:W$181,21,FALSE))</f>
        <v>28</v>
      </c>
      <c r="Q105" s="52" t="str">
        <f>IF(F105="","",VLOOKUP(F105,'SELECT KELAS GENAP'!C$8:N$181,7,FALSE))</f>
        <v>MKU</v>
      </c>
      <c r="R105" s="52" t="str">
        <f>IF(F105="","",VLOOKUP(F105,'SELECT KELAS GENAP'!C$8:N$181,9,FALSE))</f>
        <v>None</v>
      </c>
      <c r="S105" s="98" t="str">
        <f>IF(F105="","",VLOOKUP(F105,'SELECT KELAS GENAP'!C$8:N$181,11,FALSE))</f>
        <v>MKU</v>
      </c>
      <c r="T105" s="52"/>
      <c r="U105" s="206">
        <f t="shared" si="46"/>
        <v>0.64236111111111105</v>
      </c>
      <c r="V105" s="206">
        <f t="shared" si="45"/>
        <v>0.71180555555555547</v>
      </c>
    </row>
    <row r="106" spans="2:22" ht="34.950000000000003" customHeight="1" x14ac:dyDescent="0.3">
      <c r="B106" s="51" t="str">
        <f t="shared" si="49"/>
        <v>Kamis</v>
      </c>
      <c r="C106" s="51">
        <v>0.64236111111111105</v>
      </c>
      <c r="D106" s="51" t="str">
        <f t="shared" si="47"/>
        <v>s/d</v>
      </c>
      <c r="E106" s="51">
        <f t="shared" si="48"/>
        <v>0.71180555555555547</v>
      </c>
      <c r="F106" s="101" t="s">
        <v>568</v>
      </c>
      <c r="G106" s="115" t="s">
        <v>394</v>
      </c>
      <c r="H106" s="52" t="str">
        <f>IF(F106="","",VLOOKUP(F106,'SELECT KELAS GENAP'!C$8:N$181,2,FALSE))</f>
        <v>INF-55201-213</v>
      </c>
      <c r="I106" s="236" t="str">
        <f>IF(F106="","",VLOOKUP(F106,'SELECT KELAS GENAP'!C$8:N$175,3,FALSE))</f>
        <v>Sistem Informasi</v>
      </c>
      <c r="J106" s="52" t="str">
        <f>IF(F106="","",VLOOKUP(F106,'SELECT KELAS GENAP'!C$8:N$181,12,FALSE))</f>
        <v>YL / EFR</v>
      </c>
      <c r="K106" s="237" t="str">
        <f>IF(F106="","",VLOOKUP(F106,'SELECT KELAS GENAP'!C$8:N$181,8,FALSE))</f>
        <v>YL</v>
      </c>
      <c r="L106" s="237" t="str">
        <f>IF(F106="","",VLOOKUP(F106,'SELECT KELAS GENAP'!C$8:N$181,10,FALSE))</f>
        <v>EFR</v>
      </c>
      <c r="M106" s="52" t="str">
        <f>IF(F106="","",VLOOKUP(F106,'SELECT KELAS GENAP'!C$8:N$181,6,FALSE))</f>
        <v>C</v>
      </c>
      <c r="N106" s="52">
        <f>IF(F106="","",VLOOKUP(F106,'SELECT KELAS GENAP'!C$8:N$181,4,FALSE))</f>
        <v>4</v>
      </c>
      <c r="O106" s="52">
        <f>IF(F106="","",VLOOKUP(F106,'SELECT KELAS GENAP'!C$8:N$181,5,FALSE))</f>
        <v>2</v>
      </c>
      <c r="P106" s="52">
        <f>IF(F106="","",VLOOKUP(F106,'SELECT KELAS GENAP'!C$8:W$181,21,FALSE))</f>
        <v>28</v>
      </c>
      <c r="Q106" s="52" t="str">
        <f>IF(F106="","",VLOOKUP(F106,'SELECT KELAS GENAP'!C$8:N$181,7,FALSE))</f>
        <v>Yulianti,S.Kom, MMSI</v>
      </c>
      <c r="R106" s="52" t="str">
        <f>IF(F106="","",VLOOKUP(F106,'SELECT KELAS GENAP'!C$8:N$181,9,FALSE))</f>
        <v>Eva Faja Ripanti, S.Kom, MMSI, Ph.D</v>
      </c>
      <c r="S106" s="98" t="str">
        <f>IF(F106="","",VLOOKUP(F106,'SELECT KELAS GENAP'!C$8:N$181,11,FALSE))</f>
        <v>Yulianti,S.Kom, MMSI / Eva Faja Ripanti, S.Kom, MMSI, Ph.D</v>
      </c>
      <c r="T106" s="52"/>
      <c r="U106" s="206">
        <f t="shared" si="46"/>
        <v>0.64236111111111105</v>
      </c>
      <c r="V106" s="206">
        <f t="shared" si="45"/>
        <v>0.71180555555555547</v>
      </c>
    </row>
    <row r="107" spans="2:22" ht="34.950000000000003" customHeight="1" x14ac:dyDescent="0.3">
      <c r="B107" s="51" t="str">
        <f t="shared" si="49"/>
        <v>Kamis</v>
      </c>
      <c r="C107" s="51">
        <v>0.64236111111111105</v>
      </c>
      <c r="D107" s="51" t="str">
        <f t="shared" si="47"/>
        <v>s/d</v>
      </c>
      <c r="E107" s="51">
        <f t="shared" si="48"/>
        <v>0.71180555555555547</v>
      </c>
      <c r="F107" s="101" t="s">
        <v>586</v>
      </c>
      <c r="G107" s="115" t="s">
        <v>394</v>
      </c>
      <c r="H107" s="52" t="str">
        <f>IF(F107="","",VLOOKUP(F107,'SELECT KELAS GENAP'!C$8:N$181,2,FALSE))</f>
        <v xml:space="preserve"> INF-55201-312</v>
      </c>
      <c r="I107" s="236" t="str">
        <f>IF(F107="","",VLOOKUP(F107,'SELECT KELAS GENAP'!C$8:N$175,3,FALSE))</f>
        <v>Sosio dan Etika Profesi</v>
      </c>
      <c r="J107" s="52" t="str">
        <f>IF(F107="","",VLOOKUP(F107,'SELECT KELAS GENAP'!C$8:N$181,12,FALSE))</f>
        <v>HM</v>
      </c>
      <c r="K107" s="237" t="str">
        <f>IF(F107="","",VLOOKUP(F107,'SELECT KELAS GENAP'!C$8:N$181,8,FALSE))</f>
        <v>HM</v>
      </c>
      <c r="L107" s="237" t="str">
        <f>IF(F107="","",VLOOKUP(F107,'SELECT KELAS GENAP'!C$8:N$181,10,FALSE))</f>
        <v>-</v>
      </c>
      <c r="M107" s="52" t="str">
        <f>IF(F107="","",VLOOKUP(F107,'SELECT KELAS GENAP'!C$8:N$181,6,FALSE))</f>
        <v>A</v>
      </c>
      <c r="N107" s="52">
        <f>IF(F107="","",VLOOKUP(F107,'SELECT KELAS GENAP'!C$8:N$181,4,FALSE))</f>
        <v>6</v>
      </c>
      <c r="O107" s="52">
        <f>IF(F107="","",VLOOKUP(F107,'SELECT KELAS GENAP'!C$8:N$181,5,FALSE))</f>
        <v>2</v>
      </c>
      <c r="P107" s="52">
        <f>IF(F107="","",VLOOKUP(F107,'SELECT KELAS GENAP'!C$8:W$181,21,FALSE))</f>
        <v>28</v>
      </c>
      <c r="Q107" s="52" t="str">
        <f>IF(F107="","",VLOOKUP(F107,'SELECT KELAS GENAP'!C$8:N$181,7,FALSE))</f>
        <v>Hafiz Muhardi, S.T., M.Kom</v>
      </c>
      <c r="R107" s="52" t="str">
        <f>IF(F107="","",VLOOKUP(F107,'SELECT KELAS GENAP'!C$8:N$181,9,FALSE))</f>
        <v>None</v>
      </c>
      <c r="S107" s="98" t="str">
        <f>IF(F107="","",VLOOKUP(F107,'SELECT KELAS GENAP'!C$8:N$181,11,FALSE))</f>
        <v>Hafiz Muhardi, S.T., M.Kom</v>
      </c>
      <c r="T107" s="52"/>
      <c r="U107" s="206">
        <f t="shared" si="46"/>
        <v>0.64236111111111105</v>
      </c>
      <c r="V107" s="206">
        <f t="shared" si="45"/>
        <v>0.71180555555555547</v>
      </c>
    </row>
    <row r="108" spans="2:22" ht="34.950000000000003" customHeight="1" x14ac:dyDescent="0.3">
      <c r="B108" s="51" t="str">
        <f t="shared" si="49"/>
        <v>Kamis</v>
      </c>
      <c r="C108" s="51">
        <v>0.64236111111111105</v>
      </c>
      <c r="D108" s="51" t="str">
        <f t="shared" ref="D108" si="56">IF(C108="","","s/d")</f>
        <v>s/d</v>
      </c>
      <c r="E108" s="51">
        <f t="shared" ref="E108" si="57">IF(O108="","",(IF(O108=4,C108+TIME(0,2*50,0),C108+TIME(0,O108*50,0))))</f>
        <v>0.71180555555555547</v>
      </c>
      <c r="F108" s="101" t="s">
        <v>590</v>
      </c>
      <c r="G108" s="115"/>
      <c r="H108" s="52" t="str">
        <f>IF(F108="","",VLOOKUP(F108,'SELECT KELAS GENAP'!C$8:N$181,2,FALSE))</f>
        <v xml:space="preserve"> INF-55201-307</v>
      </c>
      <c r="I108" s="236" t="str">
        <f>IF(F108="","",VLOOKUP(F108,'SELECT KELAS GENAP'!C$8:N$175,3,FALSE))</f>
        <v xml:space="preserve">Teori Komputer Grafis </v>
      </c>
      <c r="J108" s="52" t="str">
        <f>IF(F108="","",VLOOKUP(F108,'SELECT KELAS GENAP'!C$8:N$181,12,FALSE))</f>
        <v>HA</v>
      </c>
      <c r="K108" s="237" t="str">
        <f>IF(F108="","",VLOOKUP(F108,'SELECT KELAS GENAP'!C$8:N$181,8,FALSE))</f>
        <v>HA</v>
      </c>
      <c r="L108" s="237" t="str">
        <f>IF(F108="","",VLOOKUP(F108,'SELECT KELAS GENAP'!C$8:N$181,10,FALSE))</f>
        <v>-</v>
      </c>
      <c r="M108" s="52" t="str">
        <f>IF(F108="","",VLOOKUP(F108,'SELECT KELAS GENAP'!C$8:N$181,6,FALSE))</f>
        <v>C</v>
      </c>
      <c r="N108" s="52">
        <f>IF(F108="","",VLOOKUP(F108,'SELECT KELAS GENAP'!C$8:N$181,4,FALSE))</f>
        <v>6</v>
      </c>
      <c r="O108" s="52">
        <f>IF(F108="","",VLOOKUP(F108,'SELECT KELAS GENAP'!C$8:N$181,5,FALSE))</f>
        <v>2</v>
      </c>
      <c r="P108" s="52">
        <f>IF(F108="","",VLOOKUP(F108,'SELECT KELAS GENAP'!C$8:W$181,21,FALSE))</f>
        <v>28</v>
      </c>
      <c r="Q108" s="52" t="str">
        <f>IF(F108="","",VLOOKUP(F108,'SELECT KELAS GENAP'!C$8:N$181,7,FALSE))</f>
        <v>H. Hengky Anra, S.T., M.Kom</v>
      </c>
      <c r="R108" s="52" t="str">
        <f>IF(F108="","",VLOOKUP(F108,'SELECT KELAS GENAP'!C$8:N$181,9,FALSE))</f>
        <v>None</v>
      </c>
      <c r="S108" s="98" t="str">
        <f>IF(F108="","",VLOOKUP(F108,'SELECT KELAS GENAP'!C$8:N$181,11,FALSE))</f>
        <v>H. Hengky Anra, S.T., M.Kom</v>
      </c>
      <c r="T108" s="52"/>
      <c r="U108" s="206">
        <f t="shared" si="46"/>
        <v>0.64236111111111105</v>
      </c>
      <c r="V108" s="206">
        <f t="shared" si="45"/>
        <v>0.71180555555555547</v>
      </c>
    </row>
    <row r="109" spans="2:22" s="248" customFormat="1" ht="34.799999999999997" customHeight="1" x14ac:dyDescent="0.3">
      <c r="B109" s="249"/>
      <c r="C109" s="241"/>
      <c r="D109" s="241" t="str">
        <f t="shared" si="47"/>
        <v/>
      </c>
      <c r="E109" s="241" t="str">
        <f t="shared" si="48"/>
        <v/>
      </c>
      <c r="F109" s="242"/>
      <c r="G109" s="243" t="s">
        <v>394</v>
      </c>
      <c r="H109" s="244" t="str">
        <f>IF(F109="","",VLOOKUP(F109,'SELECT KELAS GENAP'!C$8:N$181,2,FALSE))</f>
        <v/>
      </c>
      <c r="I109" s="245" t="str">
        <f>IF(F109="","",VLOOKUP(F109,'SELECT KELAS GENAP'!C$8:N$175,3,FALSE))</f>
        <v/>
      </c>
      <c r="J109" s="244" t="str">
        <f>IF(F109="","",VLOOKUP(F109,'SELECT KELAS GENAP'!C$8:N$181,12,FALSE))</f>
        <v/>
      </c>
      <c r="K109" s="246" t="str">
        <f>IF(F109="","",VLOOKUP(F109,'SELECT KELAS GENAP'!C$8:N$181,8,FALSE))</f>
        <v/>
      </c>
      <c r="L109" s="246" t="str">
        <f>IF(F109="","",VLOOKUP(F109,'SELECT KELAS GENAP'!C$8:N$181,10,FALSE))</f>
        <v/>
      </c>
      <c r="M109" s="244" t="str">
        <f>IF(F109="","",VLOOKUP(F109,'SELECT KELAS GENAP'!C$8:N$181,6,FALSE))</f>
        <v/>
      </c>
      <c r="N109" s="244" t="str">
        <f>IF(F109="","",VLOOKUP(F109,'SELECT KELAS GENAP'!C$8:N$181,4,FALSE))</f>
        <v/>
      </c>
      <c r="O109" s="244" t="str">
        <f>IF(F109="","",VLOOKUP(F109,'SELECT KELAS GENAP'!C$8:N$181,5,FALSE))</f>
        <v/>
      </c>
      <c r="P109" s="244" t="str">
        <f>IF(F109="","",VLOOKUP(F109,'SELECT KELAS GENAP'!C$8:W$181,21,FALSE))</f>
        <v/>
      </c>
      <c r="Q109" s="244" t="str">
        <f>IF(F109="","",VLOOKUP(F109,'SELECT KELAS GENAP'!C$8:N$181,7,FALSE))</f>
        <v/>
      </c>
      <c r="R109" s="244" t="str">
        <f>IF(F109="","",VLOOKUP(F109,'SELECT KELAS GENAP'!C$8:N$181,9,FALSE))</f>
        <v/>
      </c>
      <c r="S109" s="245" t="str">
        <f>IF(F109="","",VLOOKUP(F109,'SELECT KELAS GENAP'!C$8:N$181,11,FALSE))</f>
        <v/>
      </c>
      <c r="T109" s="244"/>
      <c r="U109" s="247">
        <f t="shared" si="46"/>
        <v>0</v>
      </c>
      <c r="V109" s="247" t="str">
        <f t="shared" si="45"/>
        <v/>
      </c>
    </row>
    <row r="110" spans="2:22" ht="34.950000000000003" customHeight="1" x14ac:dyDescent="0.3">
      <c r="B110" s="51" t="str">
        <f>IF(C110="","","Jumat")</f>
        <v/>
      </c>
      <c r="C110" s="51"/>
      <c r="D110" s="51" t="str">
        <f t="shared" si="47"/>
        <v/>
      </c>
      <c r="E110" s="51" t="str">
        <f t="shared" si="48"/>
        <v/>
      </c>
      <c r="F110" s="101"/>
      <c r="G110" s="115" t="s">
        <v>394</v>
      </c>
      <c r="H110" s="52" t="str">
        <f>IF(F110="","",VLOOKUP(F110,'SELECT KELAS GENAP'!C$8:N$181,2,FALSE))</f>
        <v/>
      </c>
      <c r="I110" s="229" t="str">
        <f>IF(F110="","",VLOOKUP(F110,'SELECT KELAS GENAP'!C$8:N$175,3,FALSE))</f>
        <v/>
      </c>
      <c r="J110" s="52" t="str">
        <f>IF(F110="","",VLOOKUP(F110,'SELECT KELAS GENAP'!C$8:N$181,12,FALSE))</f>
        <v/>
      </c>
      <c r="K110" s="237" t="str">
        <f>IF(F110="","",VLOOKUP(F110,'SELECT KELAS GENAP'!C$8:N$181,8,FALSE))</f>
        <v/>
      </c>
      <c r="L110" s="237" t="str">
        <f>IF(F110="","",VLOOKUP(F110,'SELECT KELAS GENAP'!C$8:N$181,10,FALSE))</f>
        <v/>
      </c>
      <c r="M110" s="52" t="str">
        <f>IF(F110="","",VLOOKUP(F110,'SELECT KELAS GENAP'!C$8:N$181,6,FALSE))</f>
        <v/>
      </c>
      <c r="N110" s="52" t="str">
        <f>IF(F110="","",VLOOKUP(F110,'SELECT KELAS GENAP'!C$8:N$181,4,FALSE))</f>
        <v/>
      </c>
      <c r="O110" s="52" t="str">
        <f>IF(F110="","",VLOOKUP(F110,'SELECT KELAS GENAP'!C$8:N$181,5,FALSE))</f>
        <v/>
      </c>
      <c r="P110" s="52" t="str">
        <f>IF(F110="","",VLOOKUP(F110,'SELECT KELAS GENAP'!C$8:W$181,21,FALSE))</f>
        <v/>
      </c>
      <c r="Q110" s="52" t="str">
        <f>IF(F110="","",VLOOKUP(F110,'SELECT KELAS GENAP'!C$8:N$181,7,FALSE))</f>
        <v/>
      </c>
      <c r="R110" s="52" t="str">
        <f>IF(F110="","",VLOOKUP(F110,'SELECT KELAS GENAP'!C$8:N$181,9,FALSE))</f>
        <v/>
      </c>
      <c r="S110" s="98" t="str">
        <f>IF(F110="","",VLOOKUP(F110,'SELECT KELAS GENAP'!C$8:N$181,11,FALSE))</f>
        <v/>
      </c>
      <c r="T110" s="52"/>
      <c r="U110" s="206">
        <f t="shared" si="46"/>
        <v>0</v>
      </c>
      <c r="V110" s="206" t="str">
        <f t="shared" si="45"/>
        <v/>
      </c>
    </row>
    <row r="111" spans="2:22" ht="34.950000000000003" customHeight="1" x14ac:dyDescent="0.3">
      <c r="B111" s="51" t="str">
        <f t="shared" ref="B111:B125" si="58">IF(C111="","","Jumat")</f>
        <v>Jumat</v>
      </c>
      <c r="C111" s="51">
        <v>0.3125</v>
      </c>
      <c r="D111" s="51" t="str">
        <f t="shared" si="47"/>
        <v>s/d</v>
      </c>
      <c r="E111" s="51">
        <f t="shared" si="48"/>
        <v>0.38194444444444442</v>
      </c>
      <c r="F111" s="101" t="s">
        <v>530</v>
      </c>
      <c r="G111" s="115" t="s">
        <v>394</v>
      </c>
      <c r="H111" s="52" t="str">
        <f>IF(F111="","",VLOOKUP(F111,'SELECT KELAS GENAP'!C$8:N$181,2,FALSE))</f>
        <v>UMG-55201-104</v>
      </c>
      <c r="I111" s="229" t="str">
        <f>IF(F111="","",VLOOKUP(F111,'SELECT KELAS GENAP'!C$8:N$175,3,FALSE))</f>
        <v>Kewarganegaraan</v>
      </c>
      <c r="J111" s="52" t="str">
        <f>IF(F111="","",VLOOKUP(F111,'SELECT KELAS GENAP'!C$8:N$181,12,FALSE))</f>
        <v>MKU</v>
      </c>
      <c r="K111" s="237" t="str">
        <f>IF(F111="","",VLOOKUP(F111,'SELECT KELAS GENAP'!C$8:N$181,8,FALSE))</f>
        <v>MKU</v>
      </c>
      <c r="L111" s="237" t="str">
        <f>IF(F111="","",VLOOKUP(F111,'SELECT KELAS GENAP'!C$8:N$181,10,FALSE))</f>
        <v>-</v>
      </c>
      <c r="M111" s="52" t="str">
        <f>IF(F111="","",VLOOKUP(F111,'SELECT KELAS GENAP'!C$8:N$181,6,FALSE))</f>
        <v>C</v>
      </c>
      <c r="N111" s="52">
        <f>IF(F111="","",VLOOKUP(F111,'SELECT KELAS GENAP'!C$8:N$181,4,FALSE))</f>
        <v>2</v>
      </c>
      <c r="O111" s="52">
        <f>IF(F111="","",VLOOKUP(F111,'SELECT KELAS GENAP'!C$8:N$181,5,FALSE))</f>
        <v>2</v>
      </c>
      <c r="P111" s="52">
        <f>IF(F111="","",VLOOKUP(F111,'SELECT KELAS GENAP'!C$8:W$181,21,FALSE))</f>
        <v>28</v>
      </c>
      <c r="Q111" s="52" t="str">
        <f>IF(F111="","",VLOOKUP(F111,'SELECT KELAS GENAP'!C$8:N$181,7,FALSE))</f>
        <v>MKU</v>
      </c>
      <c r="R111" s="52" t="str">
        <f>IF(F111="","",VLOOKUP(F111,'SELECT KELAS GENAP'!C$8:N$181,9,FALSE))</f>
        <v>None</v>
      </c>
      <c r="S111" s="98" t="str">
        <f>IF(F111="","",VLOOKUP(F111,'SELECT KELAS GENAP'!C$8:N$181,11,FALSE))</f>
        <v>MKU</v>
      </c>
      <c r="T111" s="52"/>
      <c r="U111" s="206">
        <f t="shared" si="46"/>
        <v>0.3125</v>
      </c>
      <c r="V111" s="206">
        <f t="shared" si="45"/>
        <v>0.38194444444444442</v>
      </c>
    </row>
    <row r="112" spans="2:22" ht="34.950000000000003" customHeight="1" x14ac:dyDescent="0.3">
      <c r="B112" s="51" t="str">
        <f t="shared" si="58"/>
        <v>Jumat</v>
      </c>
      <c r="C112" s="51">
        <v>0.3125</v>
      </c>
      <c r="D112" s="51" t="str">
        <f t="shared" si="47"/>
        <v>s/d</v>
      </c>
      <c r="E112" s="51">
        <f t="shared" si="48"/>
        <v>0.38194444444444442</v>
      </c>
      <c r="F112" s="101" t="s">
        <v>572</v>
      </c>
      <c r="G112" s="115" t="s">
        <v>394</v>
      </c>
      <c r="H112" s="52" t="str">
        <f>IF(F112="","",VLOOKUP(F112,'SELECT KELAS GENAP'!C$8:N$181,2,FALSE))</f>
        <v>INF-55201-213</v>
      </c>
      <c r="I112" s="229" t="str">
        <f>IF(F112="","",VLOOKUP(F112,'SELECT KELAS GENAP'!C$8:N$175,3,FALSE))</f>
        <v>Sistem Informasi</v>
      </c>
      <c r="J112" s="52" t="str">
        <f>IF(F112="","",VLOOKUP(F112,'SELECT KELAS GENAP'!C$8:N$181,12,FALSE))</f>
        <v>YL / EFR</v>
      </c>
      <c r="K112" s="237" t="str">
        <f>IF(F112="","",VLOOKUP(F112,'SELECT KELAS GENAP'!C$8:N$181,8,FALSE))</f>
        <v>YL</v>
      </c>
      <c r="L112" s="237" t="str">
        <f>IF(F112="","",VLOOKUP(F112,'SELECT KELAS GENAP'!C$8:N$181,10,FALSE))</f>
        <v>EFR</v>
      </c>
      <c r="M112" s="52" t="str">
        <f>IF(F112="","",VLOOKUP(F112,'SELECT KELAS GENAP'!C$8:N$181,6,FALSE))</f>
        <v>A</v>
      </c>
      <c r="N112" s="52">
        <f>IF(F112="","",VLOOKUP(F112,'SELECT KELAS GENAP'!C$8:N$181,4,FALSE))</f>
        <v>4</v>
      </c>
      <c r="O112" s="52">
        <f>IF(F112="","",VLOOKUP(F112,'SELECT KELAS GENAP'!C$8:N$181,5,FALSE))</f>
        <v>2</v>
      </c>
      <c r="P112" s="52">
        <f>IF(F112="","",VLOOKUP(F112,'SELECT KELAS GENAP'!C$8:W$181,21,FALSE))</f>
        <v>28</v>
      </c>
      <c r="Q112" s="52" t="str">
        <f>IF(F112="","",VLOOKUP(F112,'SELECT KELAS GENAP'!C$8:N$181,7,FALSE))</f>
        <v>Yulianti,S.Kom, MMSI</v>
      </c>
      <c r="R112" s="52" t="str">
        <f>IF(F112="","",VLOOKUP(F112,'SELECT KELAS GENAP'!C$8:N$181,9,FALSE))</f>
        <v>Eva Faja Ripanti, S.Kom, MMSI, Ph.D</v>
      </c>
      <c r="S112" s="98" t="str">
        <f>IF(F112="","",VLOOKUP(F112,'SELECT KELAS GENAP'!C$8:N$181,11,FALSE))</f>
        <v>Yulianti,S.Kom, MMSI / Eva Faja Ripanti, S.Kom, MMSI, Ph.D</v>
      </c>
      <c r="T112" s="52"/>
      <c r="U112" s="206">
        <f t="shared" si="46"/>
        <v>0.3125</v>
      </c>
      <c r="V112" s="206">
        <f t="shared" si="45"/>
        <v>0.38194444444444442</v>
      </c>
    </row>
    <row r="113" spans="2:22" ht="34.950000000000003" customHeight="1" x14ac:dyDescent="0.3">
      <c r="B113" s="51" t="str">
        <f t="shared" si="58"/>
        <v>Jumat</v>
      </c>
      <c r="C113" s="51">
        <v>0.3125</v>
      </c>
      <c r="D113" s="51" t="str">
        <f t="shared" si="47"/>
        <v>s/d</v>
      </c>
      <c r="E113" s="51">
        <f t="shared" si="48"/>
        <v>0.38194444444444442</v>
      </c>
      <c r="F113" s="101" t="s">
        <v>589</v>
      </c>
      <c r="G113" s="115" t="s">
        <v>394</v>
      </c>
      <c r="H113" s="52" t="str">
        <f>IF(F113="","",VLOOKUP(F113,'SELECT KELAS GENAP'!C$8:N$181,2,FALSE))</f>
        <v xml:space="preserve"> INF-55201-312</v>
      </c>
      <c r="I113" s="229" t="str">
        <f>IF(F113="","",VLOOKUP(F113,'SELECT KELAS GENAP'!C$8:N$175,3,FALSE))</f>
        <v>Sosio dan Etika Profesi</v>
      </c>
      <c r="J113" s="52" t="str">
        <f>IF(F113="","",VLOOKUP(F113,'SELECT KELAS GENAP'!C$8:N$181,12,FALSE))</f>
        <v>HM</v>
      </c>
      <c r="K113" s="237" t="str">
        <f>IF(F113="","",VLOOKUP(F113,'SELECT KELAS GENAP'!C$8:N$181,8,FALSE))</f>
        <v>HM</v>
      </c>
      <c r="L113" s="237" t="str">
        <f>IF(F113="","",VLOOKUP(F113,'SELECT KELAS GENAP'!C$8:N$181,10,FALSE))</f>
        <v>-</v>
      </c>
      <c r="M113" s="52" t="str">
        <f>IF(F113="","",VLOOKUP(F113,'SELECT KELAS GENAP'!C$8:N$181,6,FALSE))</f>
        <v>C</v>
      </c>
      <c r="N113" s="52">
        <f>IF(F113="","",VLOOKUP(F113,'SELECT KELAS GENAP'!C$8:N$181,4,FALSE))</f>
        <v>6</v>
      </c>
      <c r="O113" s="52">
        <f>IF(F113="","",VLOOKUP(F113,'SELECT KELAS GENAP'!C$8:N$181,5,FALSE))</f>
        <v>2</v>
      </c>
      <c r="P113" s="52">
        <f>IF(F113="","",VLOOKUP(F113,'SELECT KELAS GENAP'!C$8:W$181,21,FALSE))</f>
        <v>28</v>
      </c>
      <c r="Q113" s="52" t="str">
        <f>IF(F113="","",VLOOKUP(F113,'SELECT KELAS GENAP'!C$8:N$181,7,FALSE))</f>
        <v>Hafiz Muhardi, S.T., M.Kom</v>
      </c>
      <c r="R113" s="52" t="str">
        <f>IF(F113="","",VLOOKUP(F113,'SELECT KELAS GENAP'!C$8:N$181,9,FALSE))</f>
        <v>None</v>
      </c>
      <c r="S113" s="98" t="str">
        <f>IF(F113="","",VLOOKUP(F113,'SELECT KELAS GENAP'!C$8:N$181,11,FALSE))</f>
        <v>Hafiz Muhardi, S.T., M.Kom</v>
      </c>
      <c r="T113" s="52"/>
      <c r="U113" s="206">
        <f t="shared" si="46"/>
        <v>0.3125</v>
      </c>
      <c r="V113" s="206">
        <f t="shared" si="45"/>
        <v>0.38194444444444442</v>
      </c>
    </row>
    <row r="114" spans="2:22" ht="34.950000000000003" customHeight="1" x14ac:dyDescent="0.3">
      <c r="B114" s="51" t="str">
        <f t="shared" si="58"/>
        <v>Jumat</v>
      </c>
      <c r="C114" s="51">
        <v>0.3125</v>
      </c>
      <c r="D114" s="51" t="str">
        <f t="shared" si="47"/>
        <v>s/d</v>
      </c>
      <c r="E114" s="51">
        <f t="shared" si="48"/>
        <v>0.38194444444444442</v>
      </c>
      <c r="F114" s="101" t="s">
        <v>591</v>
      </c>
      <c r="G114" s="115"/>
      <c r="H114" s="52" t="str">
        <f>IF(F114="","",VLOOKUP(F114,'SELECT KELAS GENAP'!C$8:N$181,2,FALSE))</f>
        <v xml:space="preserve"> INF-55201-307</v>
      </c>
      <c r="I114" s="229" t="str">
        <f>IF(F114="","",VLOOKUP(F114,'SELECT KELAS GENAP'!C$8:N$175,3,FALSE))</f>
        <v xml:space="preserve">Teori Komputer Grafis </v>
      </c>
      <c r="J114" s="52" t="str">
        <f>IF(F114="","",VLOOKUP(F114,'SELECT KELAS GENAP'!C$8:N$181,12,FALSE))</f>
        <v>HA</v>
      </c>
      <c r="K114" s="237" t="str">
        <f>IF(F114="","",VLOOKUP(F114,'SELECT KELAS GENAP'!C$8:N$181,8,FALSE))</f>
        <v>HA</v>
      </c>
      <c r="L114" s="237" t="str">
        <f>IF(F114="","",VLOOKUP(F114,'SELECT KELAS GENAP'!C$8:N$181,10,FALSE))</f>
        <v>-</v>
      </c>
      <c r="M114" s="52" t="str">
        <f>IF(F114="","",VLOOKUP(F114,'SELECT KELAS GENAP'!C$8:N$181,6,FALSE))</f>
        <v>A</v>
      </c>
      <c r="N114" s="52">
        <f>IF(F114="","",VLOOKUP(F114,'SELECT KELAS GENAP'!C$8:N$181,4,FALSE))</f>
        <v>6</v>
      </c>
      <c r="O114" s="52">
        <f>IF(F114="","",VLOOKUP(F114,'SELECT KELAS GENAP'!C$8:N$181,5,FALSE))</f>
        <v>2</v>
      </c>
      <c r="P114" s="52">
        <f>IF(F114="","",VLOOKUP(F114,'SELECT KELAS GENAP'!C$8:W$181,21,FALSE))</f>
        <v>28</v>
      </c>
      <c r="Q114" s="52" t="str">
        <f>IF(F114="","",VLOOKUP(F114,'SELECT KELAS GENAP'!C$8:N$181,7,FALSE))</f>
        <v>H. Hengky Anra, S.T., M.Kom</v>
      </c>
      <c r="R114" s="52" t="str">
        <f>IF(F114="","",VLOOKUP(F114,'SELECT KELAS GENAP'!C$8:N$181,9,FALSE))</f>
        <v>None</v>
      </c>
      <c r="S114" s="98" t="str">
        <f>IF(F114="","",VLOOKUP(F114,'SELECT KELAS GENAP'!C$8:N$181,11,FALSE))</f>
        <v>H. Hengky Anra, S.T., M.Kom</v>
      </c>
      <c r="T114" s="52"/>
      <c r="U114" s="206">
        <f t="shared" si="46"/>
        <v>0.3125</v>
      </c>
      <c r="V114" s="206"/>
    </row>
    <row r="115" spans="2:22" ht="34.950000000000003" customHeight="1" x14ac:dyDescent="0.3">
      <c r="B115" s="51" t="str">
        <f t="shared" si="58"/>
        <v/>
      </c>
      <c r="C115" s="51"/>
      <c r="D115" s="51"/>
      <c r="E115" s="51"/>
      <c r="F115" s="101"/>
      <c r="G115" s="115"/>
      <c r="H115" s="52"/>
      <c r="I115" s="98"/>
      <c r="J115" s="52"/>
      <c r="K115" s="237"/>
      <c r="L115" s="237"/>
      <c r="M115" s="52"/>
      <c r="N115" s="52"/>
      <c r="O115" s="52"/>
      <c r="P115" s="52"/>
      <c r="Q115" s="52" t="str">
        <f>IF(F115="","",VLOOKUP(F115,'SELECT KELAS GENAP'!C$8:N$181,7,FALSE))</f>
        <v/>
      </c>
      <c r="R115" s="52" t="str">
        <f>IF(F115="","",VLOOKUP(F115,'SELECT KELAS GENAP'!C$8:N$181,9,FALSE))</f>
        <v/>
      </c>
      <c r="S115" s="98"/>
      <c r="T115" s="52"/>
      <c r="U115" s="206">
        <f t="shared" si="46"/>
        <v>0</v>
      </c>
      <c r="V115" s="206"/>
    </row>
    <row r="116" spans="2:22" ht="34.950000000000003" customHeight="1" x14ac:dyDescent="0.3">
      <c r="B116" s="51" t="str">
        <f t="shared" si="58"/>
        <v>Jumat</v>
      </c>
      <c r="C116" s="51">
        <v>0.3888888888888889</v>
      </c>
      <c r="D116" s="51" t="str">
        <f t="shared" si="47"/>
        <v>s/d</v>
      </c>
      <c r="E116" s="51">
        <f t="shared" si="48"/>
        <v>0.45833333333333337</v>
      </c>
      <c r="F116" s="101" t="s">
        <v>529</v>
      </c>
      <c r="G116" s="124" t="s">
        <v>394</v>
      </c>
      <c r="H116" s="52" t="str">
        <f>IF(F116="","",VLOOKUP(F116,'SELECT KELAS GENAP'!C$8:N$181,2,FALSE))</f>
        <v>INF-55201-109</v>
      </c>
      <c r="I116" s="234" t="str">
        <f>IF(F116="","",VLOOKUP(F116,'SELECT KELAS GENAP'!C$8:N$175,3,FALSE))</f>
        <v>Struktur  Data  dan Algoritma*</v>
      </c>
      <c r="J116" s="52" t="str">
        <f>IF(F116="","",VLOOKUP(F116,'SELECT KELAS GENAP'!C$8:N$181,12,FALSE))</f>
        <v>TZ / FA</v>
      </c>
      <c r="K116" s="237" t="str">
        <f>IF(F116="","",VLOOKUP(F116,'SELECT KELAS GENAP'!C$8:N$181,8,FALSE))</f>
        <v>TZ</v>
      </c>
      <c r="L116" s="237" t="str">
        <f>IF(F116="","",VLOOKUP(F116,'SELECT KELAS GENAP'!C$8:N$181,10,FALSE))</f>
        <v>FA</v>
      </c>
      <c r="M116" s="52" t="str">
        <f>IF(F116="","",VLOOKUP(F116,'SELECT KELAS GENAP'!C$8:N$181,6,FALSE))</f>
        <v>B</v>
      </c>
      <c r="N116" s="52">
        <f>IF(F116="","",VLOOKUP(F116,'SELECT KELAS GENAP'!C$8:N$181,4,FALSE))</f>
        <v>2</v>
      </c>
      <c r="O116" s="52">
        <f>IF(F116="","",VLOOKUP(F116,'SELECT KELAS GENAP'!C$8:N$181,5,FALSE))</f>
        <v>4</v>
      </c>
      <c r="P116" s="52">
        <f>IF(F116="","",VLOOKUP(F116,'SELECT KELAS GENAP'!C$8:W$181,21,FALSE))</f>
        <v>35</v>
      </c>
      <c r="Q116" s="52" t="str">
        <f>IF(F116="","",VLOOKUP(F116,'SELECT KELAS GENAP'!C$8:N$181,7,FALSE))</f>
        <v>Morteza Muthahhari, S.Kom., M.T.I</v>
      </c>
      <c r="R116" s="52" t="str">
        <f>IF(F116="","",VLOOKUP(F116,'SELECT KELAS GENAP'!C$8:N$181,9,FALSE))</f>
        <v>Fauzan Asrin, S.Kom, M. Kom.</v>
      </c>
      <c r="S116" s="98" t="str">
        <f>IF(F116="","",VLOOKUP(F116,'SELECT KELAS GENAP'!C$8:N$181,11,FALSE))</f>
        <v>Morteza Muthahhari, S.Kom., M.T.I / Fauzan Asrin, S.Kom, M. Kom.</v>
      </c>
      <c r="T116" s="52"/>
      <c r="U116" s="206">
        <f t="shared" si="46"/>
        <v>0.3888888888888889</v>
      </c>
      <c r="V116" s="206">
        <f t="shared" si="45"/>
        <v>0.45833333333333337</v>
      </c>
    </row>
    <row r="117" spans="2:22" ht="34.950000000000003" customHeight="1" x14ac:dyDescent="0.3">
      <c r="B117" s="51" t="str">
        <f t="shared" si="58"/>
        <v>Jumat</v>
      </c>
      <c r="C117" s="51">
        <v>0.3888888888888889</v>
      </c>
      <c r="D117" s="51" t="str">
        <f t="shared" si="47"/>
        <v>s/d</v>
      </c>
      <c r="E117" s="51">
        <f t="shared" si="48"/>
        <v>0.45833333333333337</v>
      </c>
      <c r="F117" s="101" t="s">
        <v>564</v>
      </c>
      <c r="G117" s="115" t="s">
        <v>394</v>
      </c>
      <c r="H117" s="52" t="str">
        <f>IF(F117="","",VLOOKUP(F117,'SELECT KELAS GENAP'!C$8:N$181,2,FALSE))</f>
        <v>INF-55201-208</v>
      </c>
      <c r="I117" s="234" t="str">
        <f>IF(F117="","",VLOOKUP(F117,'SELECT KELAS GENAP'!C$8:N$175,3,FALSE))</f>
        <v>Manajemen Basis Data*</v>
      </c>
      <c r="J117" s="52" t="str">
        <f>IF(F117="","",VLOOKUP(F117,'SELECT KELAS GENAP'!C$8:N$181,12,FALSE))</f>
        <v>HSP / HN</v>
      </c>
      <c r="K117" s="237" t="str">
        <f>IF(F117="","",VLOOKUP(F117,'SELECT KELAS GENAP'!C$8:N$181,8,FALSE))</f>
        <v>HSP</v>
      </c>
      <c r="L117" s="237" t="str">
        <f>IF(F117="","",VLOOKUP(F117,'SELECT KELAS GENAP'!C$8:N$181,10,FALSE))</f>
        <v>HN</v>
      </c>
      <c r="M117" s="52" t="str">
        <f>IF(F117="","",VLOOKUP(F117,'SELECT KELAS GENAP'!C$8:N$181,6,FALSE))</f>
        <v>C</v>
      </c>
      <c r="N117" s="52">
        <f>IF(F117="","",VLOOKUP(F117,'SELECT KELAS GENAP'!C$8:N$181,4,FALSE))</f>
        <v>4</v>
      </c>
      <c r="O117" s="52">
        <f>IF(F117="","",VLOOKUP(F117,'SELECT KELAS GENAP'!C$8:N$181,5,FALSE))</f>
        <v>4</v>
      </c>
      <c r="P117" s="52">
        <f>IF(F117="","",VLOOKUP(F117,'SELECT KELAS GENAP'!C$8:W$181,21,FALSE))</f>
        <v>35</v>
      </c>
      <c r="Q117" s="52" t="str">
        <f>IF(F117="","",VLOOKUP(F117,'SELECT KELAS GENAP'!C$8:N$181,7,FALSE))</f>
        <v>Helen Sastypratiwi, S.T., M.Eng</v>
      </c>
      <c r="R117" s="52" t="str">
        <f>IF(F117="","",VLOOKUP(F117,'SELECT KELAS GENAP'!C$8:N$181,9,FALSE))</f>
        <v>Haried Novriando, S.Kom, M.Eng</v>
      </c>
      <c r="S117" s="98" t="str">
        <f>IF(F117="","",VLOOKUP(F117,'SELECT KELAS GENAP'!C$8:N$181,11,FALSE))</f>
        <v>Helen Sastypratiwi, S.T., M.Eng / Haried Novriando, S.Kom, M.Eng</v>
      </c>
      <c r="T117" s="52"/>
      <c r="U117" s="206">
        <f t="shared" si="46"/>
        <v>0.3888888888888889</v>
      </c>
      <c r="V117" s="206">
        <f t="shared" si="45"/>
        <v>0.45833333333333337</v>
      </c>
    </row>
    <row r="118" spans="2:22" ht="34.950000000000003" customHeight="1" x14ac:dyDescent="0.3">
      <c r="B118" s="51" t="str">
        <f t="shared" si="58"/>
        <v>Jumat</v>
      </c>
      <c r="C118" s="51">
        <v>0.3888888888888889</v>
      </c>
      <c r="D118" s="51" t="str">
        <f t="shared" ref="D118:D119" si="59">IF(C118="","","s/d")</f>
        <v>s/d</v>
      </c>
      <c r="E118" s="51">
        <f t="shared" ref="E118:E119" si="60">IF(O118="","",(IF(O118=4,C118+TIME(0,2*50,0),C118+TIME(0,O118*50,0))))</f>
        <v>0.45833333333333337</v>
      </c>
      <c r="F118" s="101" t="s">
        <v>615</v>
      </c>
      <c r="G118" s="115"/>
      <c r="H118" s="52" t="str">
        <f>IF(F118="","",VLOOKUP(F118,'SELECT KELAS GENAP'!C$8:N$181,2,FALSE))</f>
        <v>INF-55201-211</v>
      </c>
      <c r="I118" s="234" t="str">
        <f>IF(F118="","",VLOOKUP(F118,'SELECT KELAS GENAP'!C$8:N$175,3,FALSE))</f>
        <v>Pemrograman  Berorientasi  Objek * </v>
      </c>
      <c r="J118" s="52" t="str">
        <f>IF(F118="","",VLOOKUP(F118,'SELECT KELAS GENAP'!C$8:N$181,12,FALSE))</f>
        <v>RDN</v>
      </c>
      <c r="K118" s="237" t="str">
        <f>IF(F118="","",VLOOKUP(F118,'SELECT KELAS GENAP'!C$8:N$181,8,FALSE))</f>
        <v>RDN</v>
      </c>
      <c r="L118" s="237" t="str">
        <f>IF(F118="","",VLOOKUP(F118,'SELECT KELAS GENAP'!C$8:N$181,10,FALSE))</f>
        <v>-</v>
      </c>
      <c r="M118" s="52" t="str">
        <f>IF(F118="","",VLOOKUP(F118,'SELECT KELAS GENAP'!C$8:N$181,6,FALSE))</f>
        <v>B</v>
      </c>
      <c r="N118" s="52">
        <f>IF(F118="","",VLOOKUP(F118,'SELECT KELAS GENAP'!C$8:N$181,4,FALSE))</f>
        <v>4</v>
      </c>
      <c r="O118" s="52">
        <f>IF(F118="","",VLOOKUP(F118,'SELECT KELAS GENAP'!C$8:N$181,5,FALSE))</f>
        <v>4</v>
      </c>
      <c r="P118" s="52">
        <f>IF(F118="","",VLOOKUP(F118,'SELECT KELAS GENAP'!C$8:W$181,21,FALSE))</f>
        <v>35</v>
      </c>
      <c r="Q118" s="52" t="str">
        <f>IF(F118="","",VLOOKUP(F118,'SELECT KELAS GENAP'!C$8:N$181,7,FALSE))</f>
        <v>Rudy Dwi Nyoto, S.T., M.Eng</v>
      </c>
      <c r="R118" s="52" t="str">
        <f>IF(F118="","",VLOOKUP(F118,'SELECT KELAS GENAP'!C$8:N$181,9,FALSE))</f>
        <v>None</v>
      </c>
      <c r="S118" s="98" t="str">
        <f>IF(F118="","",VLOOKUP(F118,'SELECT KELAS GENAP'!C$8:N$181,11,FALSE))</f>
        <v>Rudy Dwi Nyoto, S.T., M.Eng</v>
      </c>
      <c r="T118" s="52"/>
      <c r="U118" s="206">
        <f t="shared" si="46"/>
        <v>0.3888888888888889</v>
      </c>
      <c r="V118" s="206"/>
    </row>
    <row r="119" spans="2:22" ht="34.950000000000003" customHeight="1" x14ac:dyDescent="0.3">
      <c r="B119" s="51" t="str">
        <f t="shared" si="58"/>
        <v>Jumat</v>
      </c>
      <c r="C119" s="51">
        <v>0.3888888888888889</v>
      </c>
      <c r="D119" s="51" t="str">
        <f t="shared" si="59"/>
        <v>s/d</v>
      </c>
      <c r="E119" s="51">
        <f t="shared" si="60"/>
        <v>0.45833333333333337</v>
      </c>
      <c r="F119" s="101" t="s">
        <v>608</v>
      </c>
      <c r="G119" s="115"/>
      <c r="H119" s="52" t="str">
        <f>IF(F119="","",VLOOKUP(F119,'SELECT KELAS GENAP'!C$8:N$181,2,FALSE))</f>
        <v xml:space="preserve"> INF-55201-316</v>
      </c>
      <c r="I119" s="234" t="str">
        <f>IF(F119="","",VLOOKUP(F119,'SELECT KELAS GENAP'!C$8:N$175,3,FALSE))</f>
        <v>Proyek Perangkat  Lunak*</v>
      </c>
      <c r="J119" s="52" t="str">
        <f>IF(F119="","",VLOOKUP(F119,'SELECT KELAS GENAP'!C$8:N$181,12,FALSE))</f>
        <v>NS</v>
      </c>
      <c r="K119" s="237" t="str">
        <f>IF(F119="","",VLOOKUP(F119,'SELECT KELAS GENAP'!C$8:N$181,8,FALSE))</f>
        <v>NS</v>
      </c>
      <c r="L119" s="237" t="str">
        <f>IF(F119="","",VLOOKUP(F119,'SELECT KELAS GENAP'!C$8:N$181,10,FALSE))</f>
        <v>-</v>
      </c>
      <c r="M119" s="52" t="str">
        <f>IF(F119="","",VLOOKUP(F119,'SELECT KELAS GENAP'!C$8:N$181,6,FALSE))</f>
        <v>C</v>
      </c>
      <c r="N119" s="52">
        <f>IF(F119="","",VLOOKUP(F119,'SELECT KELAS GENAP'!C$8:N$181,4,FALSE))</f>
        <v>6</v>
      </c>
      <c r="O119" s="52">
        <f>IF(F119="","",VLOOKUP(F119,'SELECT KELAS GENAP'!C$8:N$181,5,FALSE))</f>
        <v>4</v>
      </c>
      <c r="P119" s="52">
        <f>IF(F119="","",VLOOKUP(F119,'SELECT KELAS GENAP'!C$8:W$181,21,FALSE))</f>
        <v>35</v>
      </c>
      <c r="Q119" s="52" t="str">
        <f>IF(F119="","",VLOOKUP(F119,'SELECT KELAS GENAP'!C$8:N$181,7,FALSE))</f>
        <v>Novi Safriadi, S.T., M.T.</v>
      </c>
      <c r="R119" s="52" t="str">
        <f>IF(F119="","",VLOOKUP(F119,'SELECT KELAS GENAP'!C$8:N$181,9,FALSE))</f>
        <v>None</v>
      </c>
      <c r="S119" s="98" t="str">
        <f>IF(F119="","",VLOOKUP(F119,'SELECT KELAS GENAP'!C$8:N$181,11,FALSE))</f>
        <v>Novi Safriadi, S.T., M.T.</v>
      </c>
      <c r="T119" s="52"/>
      <c r="U119" s="206">
        <f t="shared" si="46"/>
        <v>0.3888888888888889</v>
      </c>
      <c r="V119" s="206"/>
    </row>
    <row r="120" spans="2:22" ht="34.950000000000003" customHeight="1" x14ac:dyDescent="0.3">
      <c r="B120" s="51"/>
      <c r="C120" s="51"/>
      <c r="D120" s="51"/>
      <c r="E120" s="51"/>
      <c r="F120" s="101"/>
      <c r="G120" s="115"/>
      <c r="H120" s="52"/>
      <c r="I120" s="98" t="str">
        <f>IF(F120="","",VLOOKUP(F120,'SELECT KELAS GENAP'!C$8:N$175,3,FALSE))</f>
        <v/>
      </c>
      <c r="J120" s="52"/>
      <c r="K120" s="237"/>
      <c r="L120" s="237"/>
      <c r="M120" s="52"/>
      <c r="N120" s="52"/>
      <c r="O120" s="52"/>
      <c r="P120" s="52"/>
      <c r="Q120" s="52"/>
      <c r="R120" s="52"/>
      <c r="S120" s="98"/>
      <c r="T120" s="52"/>
      <c r="U120" s="206"/>
      <c r="V120" s="206"/>
    </row>
    <row r="121" spans="2:22" ht="34.950000000000003" customHeight="1" x14ac:dyDescent="0.3">
      <c r="B121" s="51" t="str">
        <f t="shared" si="58"/>
        <v>Jumat</v>
      </c>
      <c r="C121" s="51">
        <v>0.5625</v>
      </c>
      <c r="D121" s="51" t="str">
        <f t="shared" ref="D121" si="61">IF(C121="","","s/d")</f>
        <v>s/d</v>
      </c>
      <c r="E121" s="51">
        <f t="shared" ref="E121" si="62">IF(O121="","",(IF(O121=4,C121+TIME(0,2*50,0),C121+TIME(0,O121*50,0))))</f>
        <v>0.66666666666666663</v>
      </c>
      <c r="F121" s="101" t="s">
        <v>610</v>
      </c>
      <c r="G121" s="115"/>
      <c r="H121" s="52" t="str">
        <f>IF(F121="","",VLOOKUP(F121,'SELECT KELAS GENAP'!C$8:N$181,2,FALSE))</f>
        <v>INF-55201-107</v>
      </c>
      <c r="I121" s="98" t="str">
        <f>IF(F121="","",VLOOKUP(F121,'SELECT KELAS GENAP'!C$8:N$175,3,FALSE))</f>
        <v>Organisasi  dan Arsitektur Komputer  </v>
      </c>
      <c r="J121" s="52" t="str">
        <f>IF(F121="","",VLOOKUP(F121,'SELECT KELAS GENAP'!C$8:N$181,12,FALSE))</f>
        <v>EE / KH</v>
      </c>
      <c r="K121" s="237" t="str">
        <f>IF(F121="","",VLOOKUP(F121,'SELECT KELAS GENAP'!C$8:N$181,8,FALSE))</f>
        <v>EE</v>
      </c>
      <c r="L121" s="237" t="str">
        <f>IF(F121="","",VLOOKUP(F121,'SELECT KELAS GENAP'!C$8:N$181,10,FALSE))</f>
        <v>KH</v>
      </c>
      <c r="M121" s="52" t="str">
        <f>IF(F121="","",VLOOKUP(F121,'SELECT KELAS GENAP'!C$8:N$181,6,FALSE))</f>
        <v>B</v>
      </c>
      <c r="N121" s="52">
        <f>IF(F121="","",VLOOKUP(F121,'SELECT KELAS GENAP'!C$8:N$181,4,FALSE))</f>
        <v>2</v>
      </c>
      <c r="O121" s="52">
        <f>IF(F121="","",VLOOKUP(F121,'SELECT KELAS GENAP'!C$8:N$181,5,FALSE))</f>
        <v>3</v>
      </c>
      <c r="P121" s="52">
        <f>IF(F121="","",VLOOKUP(F121,'SELECT KELAS GENAP'!C$8:W$181,21,FALSE))</f>
        <v>28</v>
      </c>
      <c r="Q121" s="52" t="str">
        <f>IF(F121="","",VLOOKUP(F121,'SELECT KELAS GENAP'!C$8:N$181,7,FALSE))</f>
        <v>Enda Esyudha Pratama, S.T., M.T.</v>
      </c>
      <c r="R121" s="52" t="str">
        <f>IF(F121="","",VLOOKUP(F121,'SELECT KELAS GENAP'!C$8:N$181,9,FALSE))</f>
        <v>Khairul Hafidh, S.T., M.Kom.</v>
      </c>
      <c r="S121" s="98" t="str">
        <f>IF(F121="","",VLOOKUP(F121,'SELECT KELAS GENAP'!C$8:N$181,11,FALSE))</f>
        <v>Enda Esyudha Pratama, S.T., M.T. / Khairul Hafidh, S.T., M.Kom.</v>
      </c>
      <c r="T121" s="52"/>
      <c r="U121" s="206"/>
      <c r="V121" s="206"/>
    </row>
    <row r="122" spans="2:22" ht="34.950000000000003" customHeight="1" x14ac:dyDescent="0.3">
      <c r="B122" s="51" t="str">
        <f t="shared" si="58"/>
        <v>Jumat</v>
      </c>
      <c r="C122" s="51">
        <v>0.5625</v>
      </c>
      <c r="D122" s="51" t="str">
        <f t="shared" ref="D122" si="63">IF(C122="","","s/d")</f>
        <v>s/d</v>
      </c>
      <c r="E122" s="51">
        <f t="shared" ref="E122" si="64">IF(O122="","",(IF(O122=4,C122+TIME(0,2*50,0),C122+TIME(0,O122*50,0))))</f>
        <v>0.66666666666666663</v>
      </c>
      <c r="F122" s="101" t="s">
        <v>581</v>
      </c>
      <c r="G122" s="115" t="s">
        <v>394</v>
      </c>
      <c r="H122" s="52" t="str">
        <f>IF(F122="","",VLOOKUP(F122,'SELECT KELAS GENAP'!C$8:N$181,2,FALSE))</f>
        <v>INF-55201-105</v>
      </c>
      <c r="I122" s="98" t="str">
        <f>IF(F122="","",VLOOKUP(F122,'SELECT KELAS GENAP'!C$8:N$175,3,FALSE))</f>
        <v>Probabilitas  dan  Statistik  </v>
      </c>
      <c r="J122" s="52" t="str">
        <f>IF(F122="","",VLOOKUP(F122,'SELECT KELAS GENAP'!C$8:N$181,12,FALSE))</f>
        <v>YL / NC</v>
      </c>
      <c r="K122" s="237" t="str">
        <f>IF(F122="","",VLOOKUP(F122,'SELECT KELAS GENAP'!C$8:N$181,8,FALSE))</f>
        <v>YL</v>
      </c>
      <c r="L122" s="237" t="str">
        <f>IF(F122="","",VLOOKUP(F122,'SELECT KELAS GENAP'!C$8:N$181,10,FALSE))</f>
        <v>NC</v>
      </c>
      <c r="M122" s="52" t="str">
        <f>IF(F122="","",VLOOKUP(F122,'SELECT KELAS GENAP'!C$8:N$181,6,FALSE))</f>
        <v>D</v>
      </c>
      <c r="N122" s="52">
        <f>IF(F122="","",VLOOKUP(F122,'SELECT KELAS GENAP'!C$8:N$181,4,FALSE))</f>
        <v>2</v>
      </c>
      <c r="O122" s="52">
        <f>IF(F122="","",VLOOKUP(F122,'SELECT KELAS GENAP'!C$8:N$181,5,FALSE))</f>
        <v>3</v>
      </c>
      <c r="P122" s="52">
        <f>IF(F122="","",VLOOKUP(F122,'SELECT KELAS GENAP'!C$8:W$181,21,FALSE))</f>
        <v>28</v>
      </c>
      <c r="Q122" s="52" t="str">
        <f>IF(F122="","",VLOOKUP(F122,'SELECT KELAS GENAP'!C$8:N$181,7,FALSE))</f>
        <v>Yulianti,S.Kom, MMSI</v>
      </c>
      <c r="R122" s="52" t="str">
        <f>IF(F122="","",VLOOKUP(F122,'SELECT KELAS GENAP'!C$8:N$181,9,FALSE))</f>
        <v>Niken Candraningrum, S.T., M.Cs.</v>
      </c>
      <c r="S122" s="98" t="str">
        <f>IF(F122="","",VLOOKUP(F122,'SELECT KELAS GENAP'!C$8:N$181,11,FALSE))</f>
        <v>Yulianti,S.Kom, MMSI / Niken Candraningrum, S.T., M.Cs.</v>
      </c>
      <c r="T122" s="52"/>
      <c r="U122" s="206">
        <f t="shared" si="46"/>
        <v>0.5625</v>
      </c>
      <c r="V122" s="206">
        <f t="shared" si="45"/>
        <v>0.66666666666666663</v>
      </c>
    </row>
    <row r="123" spans="2:22" ht="34.950000000000003" customHeight="1" x14ac:dyDescent="0.3">
      <c r="B123" s="51" t="str">
        <f t="shared" si="58"/>
        <v>Jumat</v>
      </c>
      <c r="C123" s="51">
        <v>0.5625</v>
      </c>
      <c r="D123" s="51" t="str">
        <f t="shared" si="47"/>
        <v>s/d</v>
      </c>
      <c r="E123" s="51">
        <f t="shared" si="48"/>
        <v>0.66666666666666663</v>
      </c>
      <c r="F123" s="101" t="s">
        <v>521</v>
      </c>
      <c r="G123" s="115" t="s">
        <v>394</v>
      </c>
      <c r="H123" s="52" t="str">
        <f>IF(F123="","",VLOOKUP(F123,'SELECT KELAS GENAP'!C$8:N$181,2,FALSE))</f>
        <v>INF-55201-210</v>
      </c>
      <c r="I123" s="98" t="str">
        <f>IF(F123="","",VLOOKUP(F123,'SELECT KELAS GENAP'!C$8:N$175,3,FALSE))</f>
        <v>Sistem Paralel dan Terdistribusi</v>
      </c>
      <c r="J123" s="52" t="str">
        <f>IF(F123="","",VLOOKUP(F123,'SELECT KELAS GENAP'!C$8:N$181,12,FALSE))</f>
        <v>HLN</v>
      </c>
      <c r="K123" s="237" t="str">
        <f>IF(F123="","",VLOOKUP(F123,'SELECT KELAS GENAP'!C$8:N$181,8,FALSE))</f>
        <v>HLN</v>
      </c>
      <c r="L123" s="237" t="str">
        <f>IF(F123="","",VLOOKUP(F123,'SELECT KELAS GENAP'!C$8:N$181,10,FALSE))</f>
        <v>-</v>
      </c>
      <c r="M123" s="52" t="str">
        <f>IF(F123="","",VLOOKUP(F123,'SELECT KELAS GENAP'!C$8:N$181,6,FALSE))</f>
        <v>B</v>
      </c>
      <c r="N123" s="52">
        <f>IF(F123="","",VLOOKUP(F123,'SELECT KELAS GENAP'!C$8:N$181,4,FALSE))</f>
        <v>4</v>
      </c>
      <c r="O123" s="52">
        <f>IF(F123="","",VLOOKUP(F123,'SELECT KELAS GENAP'!C$8:N$181,5,FALSE))</f>
        <v>3</v>
      </c>
      <c r="P123" s="52">
        <f>IF(F123="","",VLOOKUP(F123,'SELECT KELAS GENAP'!C$8:W$181,21,FALSE))</f>
        <v>28</v>
      </c>
      <c r="Q123" s="52" t="str">
        <f>IF(F123="","",VLOOKUP(F123,'SELECT KELAS GENAP'!C$8:N$181,7,FALSE))</f>
        <v>Helfi Nasution, S.Kom, M.Cs</v>
      </c>
      <c r="R123" s="52" t="str">
        <f>IF(F123="","",VLOOKUP(F123,'SELECT KELAS GENAP'!C$8:N$181,9,FALSE))</f>
        <v>None</v>
      </c>
      <c r="S123" s="98" t="str">
        <f>IF(F123="","",VLOOKUP(F123,'SELECT KELAS GENAP'!C$8:N$181,11,FALSE))</f>
        <v>Helfi Nasution, S.Kom, M.Cs</v>
      </c>
      <c r="T123" s="52"/>
      <c r="U123" s="206">
        <f t="shared" si="46"/>
        <v>0.5625</v>
      </c>
      <c r="V123" s="206">
        <f t="shared" si="45"/>
        <v>0.66666666666666663</v>
      </c>
    </row>
    <row r="124" spans="2:22" ht="34.950000000000003" customHeight="1" x14ac:dyDescent="0.3">
      <c r="B124" s="51" t="str">
        <f t="shared" si="58"/>
        <v>Jumat</v>
      </c>
      <c r="C124" s="51">
        <v>0.5625</v>
      </c>
      <c r="D124" s="51" t="str">
        <f t="shared" si="47"/>
        <v>s/d</v>
      </c>
      <c r="E124" s="51">
        <f t="shared" si="48"/>
        <v>0.66666666666666663</v>
      </c>
      <c r="F124" s="101" t="s">
        <v>594</v>
      </c>
      <c r="G124" s="115" t="s">
        <v>394</v>
      </c>
      <c r="H124" s="52" t="str">
        <f>IF(F124="","",VLOOKUP(F124,'SELECT KELAS GENAP'!C$8:N$181,2,FALSE))</f>
        <v>INF-55201-212</v>
      </c>
      <c r="I124" s="98" t="str">
        <f>IF(F124="","",VLOOKUP(F124,'SELECT KELAS GENAP'!C$8:N$175,3,FALSE))</f>
        <v>Analisis  dan  Perancangan  Sistem  </v>
      </c>
      <c r="J124" s="52" t="str">
        <f>IF(F124="","",VLOOKUP(F124,'SELECT KELAS GENAP'!C$8:N$181,12,FALSE))</f>
        <v>AS / FA</v>
      </c>
      <c r="K124" s="237" t="str">
        <f>IF(F124="","",VLOOKUP(F124,'SELECT KELAS GENAP'!C$8:N$181,8,FALSE))</f>
        <v>AS</v>
      </c>
      <c r="L124" s="237" t="str">
        <f>IF(F124="","",VLOOKUP(F124,'SELECT KELAS GENAP'!C$8:N$181,10,FALSE))</f>
        <v>FA</v>
      </c>
      <c r="M124" s="52" t="str">
        <f>IF(F124="","",VLOOKUP(F124,'SELECT KELAS GENAP'!C$8:N$181,6,FALSE))</f>
        <v>D</v>
      </c>
      <c r="N124" s="52">
        <f>IF(F124="","",VLOOKUP(F124,'SELECT KELAS GENAP'!C$8:N$181,4,FALSE))</f>
        <v>4</v>
      </c>
      <c r="O124" s="52">
        <f>IF(F124="","",VLOOKUP(F124,'SELECT KELAS GENAP'!C$8:N$181,5,FALSE))</f>
        <v>3</v>
      </c>
      <c r="P124" s="52">
        <f>IF(F124="","",VLOOKUP(F124,'SELECT KELAS GENAP'!C$8:W$181,21,FALSE))</f>
        <v>28</v>
      </c>
      <c r="Q124" s="52" t="str">
        <f>IF(F124="","",VLOOKUP(F124,'SELECT KELAS GENAP'!C$8:N$181,7,FALSE))</f>
        <v>Anggi Srimurdianti, S.T., M.T.</v>
      </c>
      <c r="R124" s="52" t="str">
        <f>IF(F124="","",VLOOKUP(F124,'SELECT KELAS GENAP'!C$8:N$181,9,FALSE))</f>
        <v>Fauzan Asrin, S.Kom, M. Kom.</v>
      </c>
      <c r="S124" s="98" t="str">
        <f>IF(F124="","",VLOOKUP(F124,'SELECT KELAS GENAP'!C$8:N$181,11,FALSE))</f>
        <v>Anggi Srimurdianti, S.T., M.T. / Fauzan Asrin, S.Kom, M. Kom.</v>
      </c>
      <c r="T124" s="52"/>
      <c r="U124" s="206">
        <f t="shared" si="46"/>
        <v>0.5625</v>
      </c>
      <c r="V124" s="206">
        <f t="shared" si="45"/>
        <v>0.66666666666666663</v>
      </c>
    </row>
    <row r="125" spans="2:22" ht="34.950000000000003" customHeight="1" x14ac:dyDescent="0.3">
      <c r="B125" s="51" t="str">
        <f t="shared" si="58"/>
        <v>Jumat</v>
      </c>
      <c r="C125" s="51">
        <v>0.5625</v>
      </c>
      <c r="D125" s="51" t="str">
        <f t="shared" si="47"/>
        <v>s/d</v>
      </c>
      <c r="E125" s="51">
        <f t="shared" si="48"/>
        <v>0.66666666666666663</v>
      </c>
      <c r="F125" s="101" t="s">
        <v>611</v>
      </c>
      <c r="G125" s="115" t="s">
        <v>394</v>
      </c>
      <c r="H125" s="52" t="str">
        <f>IF(F125="","",VLOOKUP(F125,'SELECT KELAS GENAP'!C$8:N$181,2,FALSE))</f>
        <v xml:space="preserve"> INF-55201-315</v>
      </c>
      <c r="I125" s="98" t="str">
        <f>IF(F125="","",VLOOKUP(F125,'SELECT KELAS GENAP'!C$8:N$175,3,FALSE))</f>
        <v>MK Pilihan Wajib Multimedia &amp; SIG (SIG)</v>
      </c>
      <c r="J125" s="52" t="str">
        <f>IF(F125="","",VLOOKUP(F125,'SELECT KELAS GENAP'!C$8:N$181,12,FALSE))</f>
        <v>AI / YS</v>
      </c>
      <c r="K125" s="237" t="str">
        <f>IF(F125="","",VLOOKUP(F125,'SELECT KELAS GENAP'!C$8:N$181,8,FALSE))</f>
        <v>AI</v>
      </c>
      <c r="L125" s="237" t="str">
        <f>IF(F125="","",VLOOKUP(F125,'SELECT KELAS GENAP'!C$8:N$181,10,FALSE))</f>
        <v>YS</v>
      </c>
      <c r="M125" s="52" t="str">
        <f>IF(F125="","",VLOOKUP(F125,'SELECT KELAS GENAP'!C$8:N$181,6,FALSE))</f>
        <v>B</v>
      </c>
      <c r="N125" s="52">
        <f>IF(F125="","",VLOOKUP(F125,'SELECT KELAS GENAP'!C$8:N$181,4,FALSE))</f>
        <v>6</v>
      </c>
      <c r="O125" s="52">
        <f>IF(F125="","",VLOOKUP(F125,'SELECT KELAS GENAP'!C$8:N$181,5,FALSE))</f>
        <v>3</v>
      </c>
      <c r="P125" s="52">
        <f>IF(F125="","",VLOOKUP(F125,'SELECT KELAS GENAP'!C$8:W$181,21,FALSE))</f>
        <v>28</v>
      </c>
      <c r="Q125" s="52" t="str">
        <f>IF(F125="","",VLOOKUP(F125,'SELECT KELAS GENAP'!C$8:N$181,7,FALSE))</f>
        <v>M.Azhar Irwansyah, S.T.,M.Eng.</v>
      </c>
      <c r="R125" s="52" t="str">
        <f>IF(F125="","",VLOOKUP(F125,'SELECT KELAS GENAP'!C$8:N$181,9,FALSE))</f>
        <v>Dr. Yus Sholva, S.T., M.T.</v>
      </c>
      <c r="S125" s="98" t="str">
        <f>IF(F125="","",VLOOKUP(F125,'SELECT KELAS GENAP'!C$8:N$181,11,FALSE))</f>
        <v>M.Azhar Irwansyah, S.T.,M.Eng. / Dr. Yus Sholva, S.T., M.T.</v>
      </c>
      <c r="T125" s="52"/>
      <c r="U125" s="206">
        <f t="shared" si="46"/>
        <v>0.5625</v>
      </c>
      <c r="V125" s="206">
        <f t="shared" si="45"/>
        <v>0.66666666666666663</v>
      </c>
    </row>
    <row r="126" spans="2:22" ht="34.950000000000003" customHeight="1" x14ac:dyDescent="0.3">
      <c r="B126" s="51" t="str">
        <f>IF(C126="","","Jumat")</f>
        <v>Jumat</v>
      </c>
      <c r="C126" s="51">
        <v>0.5625</v>
      </c>
      <c r="D126" s="51" t="str">
        <f>IF(C126="","","s/d")</f>
        <v>s/d</v>
      </c>
      <c r="E126" s="51">
        <f>IF(O126="","",(IF(O126=4,C126+TIME(0,2*50,0),C126+TIME(0,O126*50,0))))</f>
        <v>0.66666666666666663</v>
      </c>
      <c r="F126" s="101" t="s">
        <v>534</v>
      </c>
      <c r="G126" s="115" t="s">
        <v>394</v>
      </c>
      <c r="H126" s="52" t="str">
        <f>IF(F126="","",VLOOKUP(F126,'SELECT KELAS GENAP'!C$8:N$181,2,FALSE))</f>
        <v xml:space="preserve"> INF-55201-314</v>
      </c>
      <c r="I126" s="98" t="str">
        <f>IF(F126="","",VLOOKUP(F126,'SELECT KELAS GENAP'!C$8:N$175,3,FALSE))</f>
        <v>MK Pilihan Wajib  Jaringan (Jaringan  Nirkabel  )</v>
      </c>
      <c r="J126" s="52" t="str">
        <f>IF(F126="","",VLOOKUP(F126,'SELECT KELAS GENAP'!C$8:N$181,12,FALSE))</f>
        <v>HP</v>
      </c>
      <c r="K126" s="237" t="str">
        <f>IF(F126="","",VLOOKUP(F126,'SELECT KELAS GENAP'!C$8:N$181,8,FALSE))</f>
        <v>HP</v>
      </c>
      <c r="L126" s="237" t="str">
        <f>IF(F126="","",VLOOKUP(F126,'SELECT KELAS GENAP'!C$8:N$181,10,FALSE))</f>
        <v>-</v>
      </c>
      <c r="M126" s="52" t="str">
        <f>IF(F126="","",VLOOKUP(F126,'SELECT KELAS GENAP'!C$8:N$181,6,FALSE))</f>
        <v>D</v>
      </c>
      <c r="N126" s="52">
        <f>IF(F126="","",VLOOKUP(F126,'SELECT KELAS GENAP'!C$8:N$181,4,FALSE))</f>
        <v>6</v>
      </c>
      <c r="O126" s="52">
        <f>IF(F126="","",VLOOKUP(F126,'SELECT KELAS GENAP'!C$8:N$181,5,FALSE))</f>
        <v>3</v>
      </c>
      <c r="P126" s="52">
        <f>IF(F126="","",VLOOKUP(F126,'SELECT KELAS GENAP'!C$8:W$181,21,FALSE))</f>
        <v>28</v>
      </c>
      <c r="Q126" s="52" t="str">
        <f>IF(F126="","",VLOOKUP(F126,'SELECT KELAS GENAP'!C$8:N$181,7,FALSE))</f>
        <v>Heri Priyanto,S.T., M.T.</v>
      </c>
      <c r="R126" s="52" t="str">
        <f>IF(F126="","",VLOOKUP(F126,'SELECT KELAS GENAP'!C$8:N$181,9,FALSE))</f>
        <v>None</v>
      </c>
      <c r="S126" s="98" t="str">
        <f>IF(F126="","",VLOOKUP(F126,'SELECT KELAS GENAP'!C$8:N$181,11,FALSE))</f>
        <v>Heri Priyanto,S.T., M.T.</v>
      </c>
      <c r="T126" s="52"/>
      <c r="U126" s="206">
        <f>C126</f>
        <v>0.5625</v>
      </c>
      <c r="V126" s="206">
        <f t="shared" si="45"/>
        <v>0.66666666666666663</v>
      </c>
    </row>
    <row r="127" spans="2:22" ht="34.950000000000003" customHeight="1" x14ac:dyDescent="0.3">
      <c r="B127" s="51" t="str">
        <f>IF(C127="","","Jumat")</f>
        <v/>
      </c>
      <c r="C127" s="51"/>
      <c r="D127" s="51" t="str">
        <f>IF(C127="","","s/d")</f>
        <v/>
      </c>
      <c r="E127" s="51" t="str">
        <f>IF(O127="","",(IF(O127=4,C127+TIME(0,2*50,0),C127+TIME(0,O127*50,0))))</f>
        <v/>
      </c>
      <c r="F127" s="101"/>
      <c r="G127" s="115" t="s">
        <v>394</v>
      </c>
      <c r="H127" s="52" t="str">
        <f>IF(F127="","",VLOOKUP(F127,'SELECT KELAS GENAP'!C$8:N$181,2,FALSE))</f>
        <v/>
      </c>
      <c r="I127" s="98" t="str">
        <f>IF(F127="","",VLOOKUP(F127,'SELECT KELAS GENAP'!C$8:N$175,3,FALSE))</f>
        <v/>
      </c>
      <c r="J127" s="52" t="str">
        <f>IF(F127="","",VLOOKUP(F127,'SELECT KELAS GENAP'!C$8:N$181,12,FALSE))</f>
        <v/>
      </c>
      <c r="K127" s="237" t="str">
        <f>IF(F127="","",VLOOKUP(F127,'SELECT KELAS GENAP'!C$8:N$181,8,FALSE))</f>
        <v/>
      </c>
      <c r="L127" s="237" t="str">
        <f>IF(F127="","",VLOOKUP(F127,'SELECT KELAS GENAP'!C$8:N$181,10,FALSE))</f>
        <v/>
      </c>
      <c r="M127" s="52" t="str">
        <f>IF(F127="","",VLOOKUP(F127,'SELECT KELAS GENAP'!C$8:N$181,6,FALSE))</f>
        <v/>
      </c>
      <c r="N127" s="52" t="str">
        <f>IF(F127="","",VLOOKUP(F127,'SELECT KELAS GENAP'!C$8:N$181,4,FALSE))</f>
        <v/>
      </c>
      <c r="O127" s="52" t="str">
        <f>IF(F127="","",VLOOKUP(F127,'SELECT KELAS GENAP'!C$8:N$181,5,FALSE))</f>
        <v/>
      </c>
      <c r="P127" s="52" t="str">
        <f>IF(F127="","",VLOOKUP(F127,'SELECT KELAS GENAP'!C$8:W$181,21,FALSE))</f>
        <v/>
      </c>
      <c r="Q127" s="52" t="str">
        <f>IF(F127="","",VLOOKUP(F127,'SELECT KELAS GENAP'!C$8:N$181,7,FALSE))</f>
        <v/>
      </c>
      <c r="R127" s="52" t="str">
        <f>IF(F127="","",VLOOKUP(F127,'SELECT KELAS GENAP'!C$8:N$181,9,FALSE))</f>
        <v/>
      </c>
      <c r="S127" s="98" t="str">
        <f>IF(F127="","",VLOOKUP(F127,'SELECT KELAS GENAP'!C$8:N$181,11,FALSE))</f>
        <v/>
      </c>
      <c r="T127" s="52"/>
      <c r="U127" s="206"/>
      <c r="V127" s="206"/>
    </row>
  </sheetData>
  <mergeCells count="3">
    <mergeCell ref="B2:T2"/>
    <mergeCell ref="B3:T3"/>
    <mergeCell ref="C6:E6"/>
  </mergeCells>
  <conditionalFormatting sqref="M33:M45 M97:M127 M47:M82 M7:M31 M84:M95">
    <cfRule type="cellIs" dxfId="1170" priority="1670" operator="equal">
      <formula>"E"</formula>
    </cfRule>
    <cfRule type="cellIs" dxfId="1169" priority="1671" operator="equal">
      <formula>"D"</formula>
    </cfRule>
    <cfRule type="cellIs" dxfId="1168" priority="1672" operator="equal">
      <formula>"C"</formula>
    </cfRule>
    <cfRule type="cellIs" dxfId="1167" priority="1673" operator="equal">
      <formula>"B"</formula>
    </cfRule>
    <cfRule type="cellIs" dxfId="1166" priority="1674" operator="equal">
      <formula>"A"</formula>
    </cfRule>
  </conditionalFormatting>
  <conditionalFormatting sqref="O33:O45 O97:O127 O47:O82 O7:O31 O84:O95">
    <cfRule type="cellIs" dxfId="1165" priority="1667" operator="equal">
      <formula>2</formula>
    </cfRule>
    <cfRule type="cellIs" dxfId="1164" priority="1668" operator="equal">
      <formula>4</formula>
    </cfRule>
    <cfRule type="cellIs" dxfId="1163" priority="1669" operator="equal">
      <formula>3</formula>
    </cfRule>
  </conditionalFormatting>
  <conditionalFormatting sqref="K71:L74">
    <cfRule type="duplicateValues" dxfId="1162" priority="1636"/>
  </conditionalFormatting>
  <conditionalFormatting sqref="K103:L108">
    <cfRule type="duplicateValues" dxfId="1161" priority="1757"/>
  </conditionalFormatting>
  <conditionalFormatting sqref="K84:L88">
    <cfRule type="duplicateValues" dxfId="1160" priority="1791"/>
  </conditionalFormatting>
  <conditionalFormatting sqref="K47:L50">
    <cfRule type="duplicateValues" dxfId="1159" priority="1825"/>
  </conditionalFormatting>
  <conditionalFormatting sqref="K7:L127">
    <cfRule type="containsText" dxfId="1158" priority="1606" operator="containsText" text="RS">
      <formula>NOT(ISERROR(SEARCH("RS",K7)))</formula>
    </cfRule>
    <cfRule type="containsText" dxfId="1157" priority="1607" operator="containsText" text="HS">
      <formula>NOT(ISERROR(SEARCH("HS",K7)))</formula>
    </cfRule>
    <cfRule type="containsText" dxfId="1156" priority="1608" operator="containsText" text="ABP">
      <formula>NOT(ISERROR(SEARCH("ABP",K7)))</formula>
    </cfRule>
    <cfRule type="containsText" dxfId="1155" priority="1609" operator="containsText" text="AI">
      <formula>NOT(ISERROR(SEARCH("AI",K7)))</formula>
    </cfRule>
    <cfRule type="containsText" dxfId="1154" priority="1610" operator="containsText" text="HA">
      <formula>NOT(ISERROR(SEARCH("HA",K7)))</formula>
    </cfRule>
    <cfRule type="containsText" dxfId="1153" priority="1611" operator="containsText" text="HN">
      <formula>NOT(ISERROR(SEARCH("HN",K7)))</formula>
    </cfRule>
    <cfRule type="containsText" dxfId="1152" priority="1612" operator="containsText" text="NS">
      <formula>NOT(ISERROR(SEARCH("NS",K7)))</formula>
    </cfRule>
    <cfRule type="containsText" dxfId="1151" priority="1625" operator="containsText" text="AP">
      <formula>NOT(ISERROR(SEARCH("AP",K7)))</formula>
    </cfRule>
  </conditionalFormatting>
  <conditionalFormatting sqref="K58:L63">
    <cfRule type="duplicateValues" dxfId="1150" priority="2884"/>
  </conditionalFormatting>
  <conditionalFormatting sqref="K41:L45">
    <cfRule type="duplicateValues" dxfId="1149" priority="2958"/>
  </conditionalFormatting>
  <conditionalFormatting sqref="K121:L127">
    <cfRule type="duplicateValues" dxfId="1148" priority="2977"/>
  </conditionalFormatting>
  <conditionalFormatting sqref="K7:L13">
    <cfRule type="duplicateValues" dxfId="1147" priority="2994"/>
  </conditionalFormatting>
  <conditionalFormatting sqref="K110:L114">
    <cfRule type="duplicateValues" dxfId="1146" priority="3013"/>
  </conditionalFormatting>
  <conditionalFormatting sqref="K7:L127">
    <cfRule type="containsText" dxfId="1145" priority="1613" operator="containsText" text="EE">
      <formula>NOT(ISERROR(SEARCH("EE",K7)))</formula>
    </cfRule>
    <cfRule type="containsText" dxfId="1144" priority="1614" operator="containsText" text="EFR">
      <formula>NOT(ISERROR(SEARCH("EFR",K7)))</formula>
    </cfRule>
    <cfRule type="containsText" dxfId="1143" priority="1615" operator="containsText" text="TR">
      <formula>NOT(ISERROR(SEARCH("TR",K7)))</formula>
    </cfRule>
    <cfRule type="containsText" dxfId="1142" priority="1616" operator="containsText" text="YL">
      <formula>NOT(ISERROR(SEARCH("YL",K7)))</formula>
    </cfRule>
    <cfRule type="containsText" dxfId="1141" priority="1617" operator="containsText" text="HP">
      <formula>NOT(ISERROR(SEARCH("HP",K7)))</formula>
    </cfRule>
    <cfRule type="containsText" dxfId="1140" priority="1618" operator="containsText" text="YS">
      <formula>NOT(ISERROR(SEARCH("YS",K7)))</formula>
    </cfRule>
    <cfRule type="containsText" dxfId="1139" priority="1619" operator="containsText" text="AS">
      <formula>NOT(ISERROR(SEARCH("AS",K7)))</formula>
    </cfRule>
    <cfRule type="containsText" dxfId="1138" priority="1620" operator="containsText" text="HLN">
      <formula>NOT(ISERROR(SEARCH("HLN",K7)))</formula>
    </cfRule>
    <cfRule type="containsText" dxfId="1137" priority="1621" operator="containsText" text="HM">
      <formula>NOT(ISERROR(SEARCH("HM",K7)))</formula>
    </cfRule>
    <cfRule type="containsText" dxfId="1136" priority="1622" operator="containsText" text="HSP">
      <formula>NOT(ISERROR(SEARCH("HSP",K7)))</formula>
    </cfRule>
    <cfRule type="containsText" dxfId="1135" priority="1623" operator="containsText" text="RDN">
      <formula>NOT(ISERROR(SEARCH("RDN",K7)))</formula>
    </cfRule>
    <cfRule type="containsText" dxfId="1134" priority="1624" operator="containsText" text="TZ">
      <formula>NOT(ISERROR(SEARCH("TZ",K7)))</formula>
    </cfRule>
  </conditionalFormatting>
  <conditionalFormatting sqref="K77:L82">
    <cfRule type="duplicateValues" dxfId="1133" priority="3015"/>
  </conditionalFormatting>
  <conditionalFormatting sqref="K33:L39">
    <cfRule type="duplicateValues" dxfId="1132" priority="3041"/>
  </conditionalFormatting>
  <conditionalFormatting sqref="K20:L27">
    <cfRule type="duplicateValues" dxfId="1131" priority="3076"/>
  </conditionalFormatting>
  <conditionalFormatting sqref="K92:L95">
    <cfRule type="duplicateValues" dxfId="1130" priority="3077"/>
  </conditionalFormatting>
  <conditionalFormatting sqref="F27:F28 F128:F1048576 F37:F40 F56:F57 F96 F115:F120 F9 F11 F1:F7 F45:F50 F75 F13:F14 F30:F35 F20:F24 F104:F106 F108:F109 F65:F66 F52:F53 F83:F87">
    <cfRule type="containsText" dxfId="1129" priority="1591" operator="containsText" text="SIG">
      <formula>NOT(ISERROR(SEARCH("SIG",F1)))</formula>
    </cfRule>
    <cfRule type="containsText" dxfId="1128" priority="1592" operator="containsText" text="Analisis">
      <formula>NOT(ISERROR(SEARCH("Analisis",F1)))</formula>
    </cfRule>
    <cfRule type="containsText" dxfId="1127" priority="1593" operator="containsText" text="Sistem Paralel">
      <formula>NOT(ISERROR(SEARCH("Sistem Paralel",F1)))</formula>
    </cfRule>
    <cfRule type="containsText" dxfId="1126" priority="1594" operator="containsText" text="Probabilitas">
      <formula>NOT(ISERROR(SEARCH("Probabilitas",F1)))</formula>
    </cfRule>
    <cfRule type="containsText" dxfId="1125" priority="1595" operator="containsText" text="Organisasi">
      <formula>NOT(ISERROR(SEARCH("Organisasi",F1)))</formula>
    </cfRule>
    <cfRule type="containsText" dxfId="1124" priority="1596" operator="containsText" text="proyek">
      <formula>NOT(ISERROR(SEARCH("proyek",F1)))</formula>
    </cfRule>
    <cfRule type="containsText" dxfId="1123" priority="1597" operator="containsText" text="Manajemen">
      <formula>NOT(ISERROR(SEARCH("Manajemen",F1)))</formula>
    </cfRule>
    <cfRule type="containsText" dxfId="1122" priority="1598" operator="containsText" text="Pemrograman">
      <formula>NOT(ISERROR(SEARCH("Pemrograman",F1)))</formula>
    </cfRule>
    <cfRule type="containsText" dxfId="1121" priority="1599" operator="containsText" text="Struktur">
      <formula>NOT(ISERROR(SEARCH("Struktur",F1)))</formula>
    </cfRule>
    <cfRule type="containsText" dxfId="1120" priority="1600" operator="containsText" text="Dasar rekayasa">
      <formula>NOT(ISERROR(SEARCH("Dasar rekayasa",F1)))</formula>
    </cfRule>
    <cfRule type="containsText" dxfId="1119" priority="1601" operator="containsText" text="PBA">
      <formula>NOT(ISERROR(SEARCH("PBA",F1)))</formula>
    </cfRule>
    <cfRule type="containsText" dxfId="1118" priority="1602" operator="containsText" text="Keamanan">
      <formula>NOT(ISERROR(SEARCH("Keamanan",F1)))</formula>
    </cfRule>
    <cfRule type="containsText" dxfId="1117" priority="1603" operator="containsText" text="Otomata">
      <formula>NOT(ISERROR(SEARCH("Otomata",F1)))</formula>
    </cfRule>
    <cfRule type="containsText" dxfId="1116" priority="1604" operator="containsText" text="Sistem Pendukung">
      <formula>NOT(ISERROR(SEARCH("Sistem Pendukung",F1)))</formula>
    </cfRule>
    <cfRule type="containsText" dxfId="1115" priority="1605" operator="containsText" text="Matematika">
      <formula>NOT(ISERROR(SEARCH("Matematika",F1)))</formula>
    </cfRule>
  </conditionalFormatting>
  <conditionalFormatting sqref="F29">
    <cfRule type="containsText" dxfId="1114" priority="1501" operator="containsText" text="SIG">
      <formula>NOT(ISERROR(SEARCH("SIG",F29)))</formula>
    </cfRule>
    <cfRule type="containsText" dxfId="1113" priority="1502" operator="containsText" text="Analisis">
      <formula>NOT(ISERROR(SEARCH("Analisis",F29)))</formula>
    </cfRule>
    <cfRule type="containsText" dxfId="1112" priority="1503" operator="containsText" text="Sistem Paralel">
      <formula>NOT(ISERROR(SEARCH("Sistem Paralel",F29)))</formula>
    </cfRule>
    <cfRule type="containsText" dxfId="1111" priority="1504" operator="containsText" text="Probabilitas">
      <formula>NOT(ISERROR(SEARCH("Probabilitas",F29)))</formula>
    </cfRule>
    <cfRule type="containsText" dxfId="1110" priority="1505" operator="containsText" text="Organisasi">
      <formula>NOT(ISERROR(SEARCH("Organisasi",F29)))</formula>
    </cfRule>
    <cfRule type="containsText" dxfId="1109" priority="1506" operator="containsText" text="proyek">
      <formula>NOT(ISERROR(SEARCH("proyek",F29)))</formula>
    </cfRule>
    <cfRule type="containsText" dxfId="1108" priority="1507" operator="containsText" text="Manajemen">
      <formula>NOT(ISERROR(SEARCH("Manajemen",F29)))</formula>
    </cfRule>
    <cfRule type="containsText" dxfId="1107" priority="1508" operator="containsText" text="Pemrograman">
      <formula>NOT(ISERROR(SEARCH("Pemrograman",F29)))</formula>
    </cfRule>
    <cfRule type="containsText" dxfId="1106" priority="1509" operator="containsText" text="Struktur">
      <formula>NOT(ISERROR(SEARCH("Struktur",F29)))</formula>
    </cfRule>
    <cfRule type="containsText" dxfId="1105" priority="1510" operator="containsText" text="Dasar rekayasa">
      <formula>NOT(ISERROR(SEARCH("Dasar rekayasa",F29)))</formula>
    </cfRule>
    <cfRule type="containsText" dxfId="1104" priority="1511" operator="containsText" text="PBA">
      <formula>NOT(ISERROR(SEARCH("PBA",F29)))</formula>
    </cfRule>
    <cfRule type="containsText" dxfId="1103" priority="1512" operator="containsText" text="Keamanan">
      <formula>NOT(ISERROR(SEARCH("Keamanan",F29)))</formula>
    </cfRule>
    <cfRule type="containsText" dxfId="1102" priority="1513" operator="containsText" text="Otomata">
      <formula>NOT(ISERROR(SEARCH("Otomata",F29)))</formula>
    </cfRule>
    <cfRule type="containsText" dxfId="1101" priority="1514" operator="containsText" text="Sistem Pendukung">
      <formula>NOT(ISERROR(SEARCH("Sistem Pendukung",F29)))</formula>
    </cfRule>
    <cfRule type="containsText" dxfId="1100" priority="1515" operator="containsText" text="Matematika">
      <formula>NOT(ISERROR(SEARCH("Matematika",F29)))</formula>
    </cfRule>
  </conditionalFormatting>
  <conditionalFormatting sqref="F41:F42 F44">
    <cfRule type="containsText" dxfId="1099" priority="1126" operator="containsText" text="SIG">
      <formula>NOT(ISERROR(SEARCH("SIG",F41)))</formula>
    </cfRule>
    <cfRule type="containsText" dxfId="1098" priority="1127" operator="containsText" text="Analisis">
      <formula>NOT(ISERROR(SEARCH("Analisis",F41)))</formula>
    </cfRule>
    <cfRule type="containsText" dxfId="1097" priority="1128" operator="containsText" text="Sistem Paralel">
      <formula>NOT(ISERROR(SEARCH("Sistem Paralel",F41)))</formula>
    </cfRule>
    <cfRule type="containsText" dxfId="1096" priority="1129" operator="containsText" text="Probabilitas">
      <formula>NOT(ISERROR(SEARCH("Probabilitas",F41)))</formula>
    </cfRule>
    <cfRule type="containsText" dxfId="1095" priority="1130" operator="containsText" text="Organisasi">
      <formula>NOT(ISERROR(SEARCH("Organisasi",F41)))</formula>
    </cfRule>
    <cfRule type="containsText" dxfId="1094" priority="1131" operator="containsText" text="proyek">
      <formula>NOT(ISERROR(SEARCH("proyek",F41)))</formula>
    </cfRule>
    <cfRule type="containsText" dxfId="1093" priority="1132" operator="containsText" text="Manajemen">
      <formula>NOT(ISERROR(SEARCH("Manajemen",F41)))</formula>
    </cfRule>
    <cfRule type="containsText" dxfId="1092" priority="1133" operator="containsText" text="Pemrograman">
      <formula>NOT(ISERROR(SEARCH("Pemrograman",F41)))</formula>
    </cfRule>
    <cfRule type="containsText" dxfId="1091" priority="1134" operator="containsText" text="Struktur">
      <formula>NOT(ISERROR(SEARCH("Struktur",F41)))</formula>
    </cfRule>
    <cfRule type="containsText" dxfId="1090" priority="1135" operator="containsText" text="Dasar rekayasa">
      <formula>NOT(ISERROR(SEARCH("Dasar rekayasa",F41)))</formula>
    </cfRule>
    <cfRule type="containsText" dxfId="1089" priority="1136" operator="containsText" text="PBA">
      <formula>NOT(ISERROR(SEARCH("PBA",F41)))</formula>
    </cfRule>
    <cfRule type="containsText" dxfId="1088" priority="1137" operator="containsText" text="Keamanan">
      <formula>NOT(ISERROR(SEARCH("Keamanan",F41)))</formula>
    </cfRule>
    <cfRule type="containsText" dxfId="1087" priority="1138" operator="containsText" text="Otomata">
      <formula>NOT(ISERROR(SEARCH("Otomata",F41)))</formula>
    </cfRule>
    <cfRule type="containsText" dxfId="1086" priority="1139" operator="containsText" text="Sistem Pendukung">
      <formula>NOT(ISERROR(SEARCH("Sistem Pendukung",F41)))</formula>
    </cfRule>
    <cfRule type="containsText" dxfId="1085" priority="1140" operator="containsText" text="Matematika">
      <formula>NOT(ISERROR(SEARCH("Matematika",F41)))</formula>
    </cfRule>
  </conditionalFormatting>
  <conditionalFormatting sqref="F51">
    <cfRule type="containsText" dxfId="1084" priority="1111" operator="containsText" text="SIG">
      <formula>NOT(ISERROR(SEARCH("SIG",F51)))</formula>
    </cfRule>
    <cfRule type="containsText" dxfId="1083" priority="1112" operator="containsText" text="Analisis">
      <formula>NOT(ISERROR(SEARCH("Analisis",F51)))</formula>
    </cfRule>
    <cfRule type="containsText" dxfId="1082" priority="1113" operator="containsText" text="Sistem Paralel">
      <formula>NOT(ISERROR(SEARCH("Sistem Paralel",F51)))</formula>
    </cfRule>
    <cfRule type="containsText" dxfId="1081" priority="1114" operator="containsText" text="Probabilitas">
      <formula>NOT(ISERROR(SEARCH("Probabilitas",F51)))</formula>
    </cfRule>
    <cfRule type="containsText" dxfId="1080" priority="1115" operator="containsText" text="Organisasi">
      <formula>NOT(ISERROR(SEARCH("Organisasi",F51)))</formula>
    </cfRule>
    <cfRule type="containsText" dxfId="1079" priority="1116" operator="containsText" text="proyek">
      <formula>NOT(ISERROR(SEARCH("proyek",F51)))</formula>
    </cfRule>
    <cfRule type="containsText" dxfId="1078" priority="1117" operator="containsText" text="Manajemen">
      <formula>NOT(ISERROR(SEARCH("Manajemen",F51)))</formula>
    </cfRule>
    <cfRule type="containsText" dxfId="1077" priority="1118" operator="containsText" text="Pemrograman">
      <formula>NOT(ISERROR(SEARCH("Pemrograman",F51)))</formula>
    </cfRule>
    <cfRule type="containsText" dxfId="1076" priority="1119" operator="containsText" text="Struktur">
      <formula>NOT(ISERROR(SEARCH("Struktur",F51)))</formula>
    </cfRule>
    <cfRule type="containsText" dxfId="1075" priority="1120" operator="containsText" text="Dasar rekayasa">
      <formula>NOT(ISERROR(SEARCH("Dasar rekayasa",F51)))</formula>
    </cfRule>
    <cfRule type="containsText" dxfId="1074" priority="1121" operator="containsText" text="PBA">
      <formula>NOT(ISERROR(SEARCH("PBA",F51)))</formula>
    </cfRule>
    <cfRule type="containsText" dxfId="1073" priority="1122" operator="containsText" text="Keamanan">
      <formula>NOT(ISERROR(SEARCH("Keamanan",F51)))</formula>
    </cfRule>
    <cfRule type="containsText" dxfId="1072" priority="1123" operator="containsText" text="Otomata">
      <formula>NOT(ISERROR(SEARCH("Otomata",F51)))</formula>
    </cfRule>
    <cfRule type="containsText" dxfId="1071" priority="1124" operator="containsText" text="Sistem Pendukung">
      <formula>NOT(ISERROR(SEARCH("Sistem Pendukung",F51)))</formula>
    </cfRule>
    <cfRule type="containsText" dxfId="1070" priority="1125" operator="containsText" text="Matematika">
      <formula>NOT(ISERROR(SEARCH("Matematika",F51)))</formula>
    </cfRule>
  </conditionalFormatting>
  <conditionalFormatting sqref="F36">
    <cfRule type="containsText" dxfId="1069" priority="1036" operator="containsText" text="SIG">
      <formula>NOT(ISERROR(SEARCH("SIG",F36)))</formula>
    </cfRule>
    <cfRule type="containsText" dxfId="1068" priority="1037" operator="containsText" text="Analisis">
      <formula>NOT(ISERROR(SEARCH("Analisis",F36)))</formula>
    </cfRule>
    <cfRule type="containsText" dxfId="1067" priority="1038" operator="containsText" text="Sistem Paralel">
      <formula>NOT(ISERROR(SEARCH("Sistem Paralel",F36)))</formula>
    </cfRule>
    <cfRule type="containsText" dxfId="1066" priority="1039" operator="containsText" text="Probabilitas">
      <formula>NOT(ISERROR(SEARCH("Probabilitas",F36)))</formula>
    </cfRule>
    <cfRule type="containsText" dxfId="1065" priority="1040" operator="containsText" text="Organisasi">
      <formula>NOT(ISERROR(SEARCH("Organisasi",F36)))</formula>
    </cfRule>
    <cfRule type="containsText" dxfId="1064" priority="1041" operator="containsText" text="proyek">
      <formula>NOT(ISERROR(SEARCH("proyek",F36)))</formula>
    </cfRule>
    <cfRule type="containsText" dxfId="1063" priority="1042" operator="containsText" text="Manajemen">
      <formula>NOT(ISERROR(SEARCH("Manajemen",F36)))</formula>
    </cfRule>
    <cfRule type="containsText" dxfId="1062" priority="1043" operator="containsText" text="Pemrograman">
      <formula>NOT(ISERROR(SEARCH("Pemrograman",F36)))</formula>
    </cfRule>
    <cfRule type="containsText" dxfId="1061" priority="1044" operator="containsText" text="Struktur">
      <formula>NOT(ISERROR(SEARCH("Struktur",F36)))</formula>
    </cfRule>
    <cfRule type="containsText" dxfId="1060" priority="1045" operator="containsText" text="Dasar rekayasa">
      <formula>NOT(ISERROR(SEARCH("Dasar rekayasa",F36)))</formula>
    </cfRule>
    <cfRule type="containsText" dxfId="1059" priority="1046" operator="containsText" text="PBA">
      <formula>NOT(ISERROR(SEARCH("PBA",F36)))</formula>
    </cfRule>
    <cfRule type="containsText" dxfId="1058" priority="1047" operator="containsText" text="Keamanan">
      <formula>NOT(ISERROR(SEARCH("Keamanan",F36)))</formula>
    </cfRule>
    <cfRule type="containsText" dxfId="1057" priority="1048" operator="containsText" text="Otomata">
      <formula>NOT(ISERROR(SEARCH("Otomata",F36)))</formula>
    </cfRule>
    <cfRule type="containsText" dxfId="1056" priority="1049" operator="containsText" text="Sistem Pendukung">
      <formula>NOT(ISERROR(SEARCH("Sistem Pendukung",F36)))</formula>
    </cfRule>
    <cfRule type="containsText" dxfId="1055" priority="1050" operator="containsText" text="Matematika">
      <formula>NOT(ISERROR(SEARCH("Matematika",F36)))</formula>
    </cfRule>
  </conditionalFormatting>
  <conditionalFormatting sqref="F20:F21 F24:F26 F29">
    <cfRule type="containsText" dxfId="1054" priority="1021" operator="containsText" text="SIG">
      <formula>NOT(ISERROR(SEARCH("SIG",F20)))</formula>
    </cfRule>
    <cfRule type="containsText" dxfId="1053" priority="1022" operator="containsText" text="Analisis">
      <formula>NOT(ISERROR(SEARCH("Analisis",F20)))</formula>
    </cfRule>
    <cfRule type="containsText" dxfId="1052" priority="1023" operator="containsText" text="Sistem Paralel">
      <formula>NOT(ISERROR(SEARCH("Sistem Paralel",F20)))</formula>
    </cfRule>
    <cfRule type="containsText" dxfId="1051" priority="1024" operator="containsText" text="Probabilitas">
      <formula>NOT(ISERROR(SEARCH("Probabilitas",F20)))</formula>
    </cfRule>
    <cfRule type="containsText" dxfId="1050" priority="1025" operator="containsText" text="Organisasi">
      <formula>NOT(ISERROR(SEARCH("Organisasi",F20)))</formula>
    </cfRule>
    <cfRule type="containsText" dxfId="1049" priority="1026" operator="containsText" text="proyek">
      <formula>NOT(ISERROR(SEARCH("proyek",F20)))</formula>
    </cfRule>
    <cfRule type="containsText" dxfId="1048" priority="1027" operator="containsText" text="Manajemen">
      <formula>NOT(ISERROR(SEARCH("Manajemen",F20)))</formula>
    </cfRule>
    <cfRule type="containsText" dxfId="1047" priority="1028" operator="containsText" text="Pemrograman">
      <formula>NOT(ISERROR(SEARCH("Pemrograman",F20)))</formula>
    </cfRule>
    <cfRule type="containsText" dxfId="1046" priority="1029" operator="containsText" text="Struktur">
      <formula>NOT(ISERROR(SEARCH("Struktur",F20)))</formula>
    </cfRule>
    <cfRule type="containsText" dxfId="1045" priority="1030" operator="containsText" text="Dasar rekayasa">
      <formula>NOT(ISERROR(SEARCH("Dasar rekayasa",F20)))</formula>
    </cfRule>
    <cfRule type="containsText" dxfId="1044" priority="1031" operator="containsText" text="PBA">
      <formula>NOT(ISERROR(SEARCH("PBA",F20)))</formula>
    </cfRule>
    <cfRule type="containsText" dxfId="1043" priority="1032" operator="containsText" text="Keamanan">
      <formula>NOT(ISERROR(SEARCH("Keamanan",F20)))</formula>
    </cfRule>
    <cfRule type="containsText" dxfId="1042" priority="1033" operator="containsText" text="Otomata">
      <formula>NOT(ISERROR(SEARCH("Otomata",F20)))</formula>
    </cfRule>
    <cfRule type="containsText" dxfId="1041" priority="1034" operator="containsText" text="Sistem Pendukung">
      <formula>NOT(ISERROR(SEARCH("Sistem Pendukung",F20)))</formula>
    </cfRule>
    <cfRule type="containsText" dxfId="1040" priority="1035" operator="containsText" text="Matematika">
      <formula>NOT(ISERROR(SEARCH("Matematika",F20)))</formula>
    </cfRule>
  </conditionalFormatting>
  <conditionalFormatting sqref="F23">
    <cfRule type="containsText" dxfId="1039" priority="1006" operator="containsText" text="SIG">
      <formula>NOT(ISERROR(SEARCH("SIG",F23)))</formula>
    </cfRule>
    <cfRule type="containsText" dxfId="1038" priority="1007" operator="containsText" text="Analisis">
      <formula>NOT(ISERROR(SEARCH("Analisis",F23)))</formula>
    </cfRule>
    <cfRule type="containsText" dxfId="1037" priority="1008" operator="containsText" text="Sistem Paralel">
      <formula>NOT(ISERROR(SEARCH("Sistem Paralel",F23)))</formula>
    </cfRule>
    <cfRule type="containsText" dxfId="1036" priority="1009" operator="containsText" text="Probabilitas">
      <formula>NOT(ISERROR(SEARCH("Probabilitas",F23)))</formula>
    </cfRule>
    <cfRule type="containsText" dxfId="1035" priority="1010" operator="containsText" text="Organisasi">
      <formula>NOT(ISERROR(SEARCH("Organisasi",F23)))</formula>
    </cfRule>
    <cfRule type="containsText" dxfId="1034" priority="1011" operator="containsText" text="proyek">
      <formula>NOT(ISERROR(SEARCH("proyek",F23)))</formula>
    </cfRule>
    <cfRule type="containsText" dxfId="1033" priority="1012" operator="containsText" text="Manajemen">
      <formula>NOT(ISERROR(SEARCH("Manajemen",F23)))</formula>
    </cfRule>
    <cfRule type="containsText" dxfId="1032" priority="1013" operator="containsText" text="Pemrograman">
      <formula>NOT(ISERROR(SEARCH("Pemrograman",F23)))</formula>
    </cfRule>
    <cfRule type="containsText" dxfId="1031" priority="1014" operator="containsText" text="Struktur">
      <formula>NOT(ISERROR(SEARCH("Struktur",F23)))</formula>
    </cfRule>
    <cfRule type="containsText" dxfId="1030" priority="1015" operator="containsText" text="Dasar rekayasa">
      <formula>NOT(ISERROR(SEARCH("Dasar rekayasa",F23)))</formula>
    </cfRule>
    <cfRule type="containsText" dxfId="1029" priority="1016" operator="containsText" text="PBA">
      <formula>NOT(ISERROR(SEARCH("PBA",F23)))</formula>
    </cfRule>
    <cfRule type="containsText" dxfId="1028" priority="1017" operator="containsText" text="Keamanan">
      <formula>NOT(ISERROR(SEARCH("Keamanan",F23)))</formula>
    </cfRule>
    <cfRule type="containsText" dxfId="1027" priority="1018" operator="containsText" text="Otomata">
      <formula>NOT(ISERROR(SEARCH("Otomata",F23)))</formula>
    </cfRule>
    <cfRule type="containsText" dxfId="1026" priority="1019" operator="containsText" text="Sistem Pendukung">
      <formula>NOT(ISERROR(SEARCH("Sistem Pendukung",F23)))</formula>
    </cfRule>
    <cfRule type="containsText" dxfId="1025" priority="1020" operator="containsText" text="Matematika">
      <formula>NOT(ISERROR(SEARCH("Matematika",F23)))</formula>
    </cfRule>
  </conditionalFormatting>
  <conditionalFormatting sqref="F25:F26">
    <cfRule type="containsText" dxfId="1024" priority="991" operator="containsText" text="SIG">
      <formula>NOT(ISERROR(SEARCH("SIG",F25)))</formula>
    </cfRule>
    <cfRule type="containsText" dxfId="1023" priority="992" operator="containsText" text="Analisis">
      <formula>NOT(ISERROR(SEARCH("Analisis",F25)))</formula>
    </cfRule>
    <cfRule type="containsText" dxfId="1022" priority="993" operator="containsText" text="Sistem Paralel">
      <formula>NOT(ISERROR(SEARCH("Sistem Paralel",F25)))</formula>
    </cfRule>
    <cfRule type="containsText" dxfId="1021" priority="994" operator="containsText" text="Probabilitas">
      <formula>NOT(ISERROR(SEARCH("Probabilitas",F25)))</formula>
    </cfRule>
    <cfRule type="containsText" dxfId="1020" priority="995" operator="containsText" text="Organisasi">
      <formula>NOT(ISERROR(SEARCH("Organisasi",F25)))</formula>
    </cfRule>
    <cfRule type="containsText" dxfId="1019" priority="996" operator="containsText" text="proyek">
      <formula>NOT(ISERROR(SEARCH("proyek",F25)))</formula>
    </cfRule>
    <cfRule type="containsText" dxfId="1018" priority="997" operator="containsText" text="Manajemen">
      <formula>NOT(ISERROR(SEARCH("Manajemen",F25)))</formula>
    </cfRule>
    <cfRule type="containsText" dxfId="1017" priority="998" operator="containsText" text="Pemrograman">
      <formula>NOT(ISERROR(SEARCH("Pemrograman",F25)))</formula>
    </cfRule>
    <cfRule type="containsText" dxfId="1016" priority="999" operator="containsText" text="Struktur">
      <formula>NOT(ISERROR(SEARCH("Struktur",F25)))</formula>
    </cfRule>
    <cfRule type="containsText" dxfId="1015" priority="1000" operator="containsText" text="Dasar rekayasa">
      <formula>NOT(ISERROR(SEARCH("Dasar rekayasa",F25)))</formula>
    </cfRule>
    <cfRule type="containsText" dxfId="1014" priority="1001" operator="containsText" text="PBA">
      <formula>NOT(ISERROR(SEARCH("PBA",F25)))</formula>
    </cfRule>
    <cfRule type="containsText" dxfId="1013" priority="1002" operator="containsText" text="Keamanan">
      <formula>NOT(ISERROR(SEARCH("Keamanan",F25)))</formula>
    </cfRule>
    <cfRule type="containsText" dxfId="1012" priority="1003" operator="containsText" text="Otomata">
      <formula>NOT(ISERROR(SEARCH("Otomata",F25)))</formula>
    </cfRule>
    <cfRule type="containsText" dxfId="1011" priority="1004" operator="containsText" text="Sistem Pendukung">
      <formula>NOT(ISERROR(SEARCH("Sistem Pendukung",F25)))</formula>
    </cfRule>
    <cfRule type="containsText" dxfId="1010" priority="1005" operator="containsText" text="Matematika">
      <formula>NOT(ISERROR(SEARCH("Matematika",F25)))</formula>
    </cfRule>
  </conditionalFormatting>
  <conditionalFormatting sqref="F88">
    <cfRule type="containsText" dxfId="1009" priority="916" operator="containsText" text="SIG">
      <formula>NOT(ISERROR(SEARCH("SIG",F88)))</formula>
    </cfRule>
    <cfRule type="containsText" dxfId="1008" priority="917" operator="containsText" text="Analisis">
      <formula>NOT(ISERROR(SEARCH("Analisis",F88)))</formula>
    </cfRule>
    <cfRule type="containsText" dxfId="1007" priority="918" operator="containsText" text="Sistem Paralel">
      <formula>NOT(ISERROR(SEARCH("Sistem Paralel",F88)))</formula>
    </cfRule>
    <cfRule type="containsText" dxfId="1006" priority="919" operator="containsText" text="Probabilitas">
      <formula>NOT(ISERROR(SEARCH("Probabilitas",F88)))</formula>
    </cfRule>
    <cfRule type="containsText" dxfId="1005" priority="920" operator="containsText" text="Organisasi">
      <formula>NOT(ISERROR(SEARCH("Organisasi",F88)))</formula>
    </cfRule>
    <cfRule type="containsText" dxfId="1004" priority="921" operator="containsText" text="proyek">
      <formula>NOT(ISERROR(SEARCH("proyek",F88)))</formula>
    </cfRule>
    <cfRule type="containsText" dxfId="1003" priority="922" operator="containsText" text="Manajemen">
      <formula>NOT(ISERROR(SEARCH("Manajemen",F88)))</formula>
    </cfRule>
    <cfRule type="containsText" dxfId="1002" priority="923" operator="containsText" text="Pemrograman">
      <formula>NOT(ISERROR(SEARCH("Pemrograman",F88)))</formula>
    </cfRule>
    <cfRule type="containsText" dxfId="1001" priority="924" operator="containsText" text="Struktur">
      <formula>NOT(ISERROR(SEARCH("Struktur",F88)))</formula>
    </cfRule>
    <cfRule type="containsText" dxfId="1000" priority="925" operator="containsText" text="Dasar rekayasa">
      <formula>NOT(ISERROR(SEARCH("Dasar rekayasa",F88)))</formula>
    </cfRule>
    <cfRule type="containsText" dxfId="999" priority="926" operator="containsText" text="PBA">
      <formula>NOT(ISERROR(SEARCH("PBA",F88)))</formula>
    </cfRule>
    <cfRule type="containsText" dxfId="998" priority="927" operator="containsText" text="Keamanan">
      <formula>NOT(ISERROR(SEARCH("Keamanan",F88)))</formula>
    </cfRule>
    <cfRule type="containsText" dxfId="997" priority="928" operator="containsText" text="Otomata">
      <formula>NOT(ISERROR(SEARCH("Otomata",F88)))</formula>
    </cfRule>
    <cfRule type="containsText" dxfId="996" priority="929" operator="containsText" text="Sistem Pendukung">
      <formula>NOT(ISERROR(SEARCH("Sistem Pendukung",F88)))</formula>
    </cfRule>
    <cfRule type="containsText" dxfId="995" priority="930" operator="containsText" text="Matematika">
      <formula>NOT(ISERROR(SEARCH("Matematika",F88)))</formula>
    </cfRule>
  </conditionalFormatting>
  <conditionalFormatting sqref="F71:F74">
    <cfRule type="containsText" dxfId="994" priority="856" operator="containsText" text="SIG">
      <formula>NOT(ISERROR(SEARCH("SIG",F71)))</formula>
    </cfRule>
    <cfRule type="containsText" dxfId="993" priority="857" operator="containsText" text="Analisis">
      <formula>NOT(ISERROR(SEARCH("Analisis",F71)))</formula>
    </cfRule>
    <cfRule type="containsText" dxfId="992" priority="858" operator="containsText" text="Sistem Paralel">
      <formula>NOT(ISERROR(SEARCH("Sistem Paralel",F71)))</formula>
    </cfRule>
    <cfRule type="containsText" dxfId="991" priority="859" operator="containsText" text="Probabilitas">
      <formula>NOT(ISERROR(SEARCH("Probabilitas",F71)))</formula>
    </cfRule>
    <cfRule type="containsText" dxfId="990" priority="860" operator="containsText" text="Organisasi">
      <formula>NOT(ISERROR(SEARCH("Organisasi",F71)))</formula>
    </cfRule>
    <cfRule type="containsText" dxfId="989" priority="861" operator="containsText" text="proyek">
      <formula>NOT(ISERROR(SEARCH("proyek",F71)))</formula>
    </cfRule>
    <cfRule type="containsText" dxfId="988" priority="862" operator="containsText" text="Manajemen">
      <formula>NOT(ISERROR(SEARCH("Manajemen",F71)))</formula>
    </cfRule>
    <cfRule type="containsText" dxfId="987" priority="863" operator="containsText" text="Pemrograman">
      <formula>NOT(ISERROR(SEARCH("Pemrograman",F71)))</formula>
    </cfRule>
    <cfRule type="containsText" dxfId="986" priority="864" operator="containsText" text="Struktur">
      <formula>NOT(ISERROR(SEARCH("Struktur",F71)))</formula>
    </cfRule>
    <cfRule type="containsText" dxfId="985" priority="865" operator="containsText" text="Dasar rekayasa">
      <formula>NOT(ISERROR(SEARCH("Dasar rekayasa",F71)))</formula>
    </cfRule>
    <cfRule type="containsText" dxfId="984" priority="866" operator="containsText" text="PBA">
      <formula>NOT(ISERROR(SEARCH("PBA",F71)))</formula>
    </cfRule>
    <cfRule type="containsText" dxfId="983" priority="867" operator="containsText" text="Keamanan">
      <formula>NOT(ISERROR(SEARCH("Keamanan",F71)))</formula>
    </cfRule>
    <cfRule type="containsText" dxfId="982" priority="868" operator="containsText" text="Otomata">
      <formula>NOT(ISERROR(SEARCH("Otomata",F71)))</formula>
    </cfRule>
    <cfRule type="containsText" dxfId="981" priority="869" operator="containsText" text="Sistem Pendukung">
      <formula>NOT(ISERROR(SEARCH("Sistem Pendukung",F71)))</formula>
    </cfRule>
    <cfRule type="containsText" dxfId="980" priority="870" operator="containsText" text="Matematika">
      <formula>NOT(ISERROR(SEARCH("Matematika",F71)))</formula>
    </cfRule>
  </conditionalFormatting>
  <conditionalFormatting sqref="F82">
    <cfRule type="containsText" dxfId="979" priority="841" operator="containsText" text="SIG">
      <formula>NOT(ISERROR(SEARCH("SIG",F82)))</formula>
    </cfRule>
    <cfRule type="containsText" dxfId="978" priority="842" operator="containsText" text="Analisis">
      <formula>NOT(ISERROR(SEARCH("Analisis",F82)))</formula>
    </cfRule>
    <cfRule type="containsText" dxfId="977" priority="843" operator="containsText" text="Sistem Paralel">
      <formula>NOT(ISERROR(SEARCH("Sistem Paralel",F82)))</formula>
    </cfRule>
    <cfRule type="containsText" dxfId="976" priority="844" operator="containsText" text="Probabilitas">
      <formula>NOT(ISERROR(SEARCH("Probabilitas",F82)))</formula>
    </cfRule>
    <cfRule type="containsText" dxfId="975" priority="845" operator="containsText" text="Organisasi">
      <formula>NOT(ISERROR(SEARCH("Organisasi",F82)))</formula>
    </cfRule>
    <cfRule type="containsText" dxfId="974" priority="846" operator="containsText" text="proyek">
      <formula>NOT(ISERROR(SEARCH("proyek",F82)))</formula>
    </cfRule>
    <cfRule type="containsText" dxfId="973" priority="847" operator="containsText" text="Manajemen">
      <formula>NOT(ISERROR(SEARCH("Manajemen",F82)))</formula>
    </cfRule>
    <cfRule type="containsText" dxfId="972" priority="848" operator="containsText" text="Pemrograman">
      <formula>NOT(ISERROR(SEARCH("Pemrograman",F82)))</formula>
    </cfRule>
    <cfRule type="containsText" dxfId="971" priority="849" operator="containsText" text="Struktur">
      <formula>NOT(ISERROR(SEARCH("Struktur",F82)))</formula>
    </cfRule>
    <cfRule type="containsText" dxfId="970" priority="850" operator="containsText" text="Dasar rekayasa">
      <formula>NOT(ISERROR(SEARCH("Dasar rekayasa",F82)))</formula>
    </cfRule>
    <cfRule type="containsText" dxfId="969" priority="851" operator="containsText" text="PBA">
      <formula>NOT(ISERROR(SEARCH("PBA",F82)))</formula>
    </cfRule>
    <cfRule type="containsText" dxfId="968" priority="852" operator="containsText" text="Keamanan">
      <formula>NOT(ISERROR(SEARCH("Keamanan",F82)))</formula>
    </cfRule>
    <cfRule type="containsText" dxfId="967" priority="853" operator="containsText" text="Otomata">
      <formula>NOT(ISERROR(SEARCH("Otomata",F82)))</formula>
    </cfRule>
    <cfRule type="containsText" dxfId="966" priority="854" operator="containsText" text="Sistem Pendukung">
      <formula>NOT(ISERROR(SEARCH("Sistem Pendukung",F82)))</formula>
    </cfRule>
    <cfRule type="containsText" dxfId="965" priority="855" operator="containsText" text="Matematika">
      <formula>NOT(ISERROR(SEARCH("Matematika",F82)))</formula>
    </cfRule>
  </conditionalFormatting>
  <conditionalFormatting sqref="F112:F114 F110">
    <cfRule type="containsText" dxfId="964" priority="796" operator="containsText" text="SIG">
      <formula>NOT(ISERROR(SEARCH("SIG",F110)))</formula>
    </cfRule>
    <cfRule type="containsText" dxfId="963" priority="797" operator="containsText" text="Analisis">
      <formula>NOT(ISERROR(SEARCH("Analisis",F110)))</formula>
    </cfRule>
    <cfRule type="containsText" dxfId="962" priority="798" operator="containsText" text="Sistem Paralel">
      <formula>NOT(ISERROR(SEARCH("Sistem Paralel",F110)))</formula>
    </cfRule>
    <cfRule type="containsText" dxfId="961" priority="799" operator="containsText" text="Probabilitas">
      <formula>NOT(ISERROR(SEARCH("Probabilitas",F110)))</formula>
    </cfRule>
    <cfRule type="containsText" dxfId="960" priority="800" operator="containsText" text="Organisasi">
      <formula>NOT(ISERROR(SEARCH("Organisasi",F110)))</formula>
    </cfRule>
    <cfRule type="containsText" dxfId="959" priority="801" operator="containsText" text="proyek">
      <formula>NOT(ISERROR(SEARCH("proyek",F110)))</formula>
    </cfRule>
    <cfRule type="containsText" dxfId="958" priority="802" operator="containsText" text="Manajemen">
      <formula>NOT(ISERROR(SEARCH("Manajemen",F110)))</formula>
    </cfRule>
    <cfRule type="containsText" dxfId="957" priority="803" operator="containsText" text="Pemrograman">
      <formula>NOT(ISERROR(SEARCH("Pemrograman",F110)))</formula>
    </cfRule>
    <cfRule type="containsText" dxfId="956" priority="804" operator="containsText" text="Struktur">
      <formula>NOT(ISERROR(SEARCH("Struktur",F110)))</formula>
    </cfRule>
    <cfRule type="containsText" dxfId="955" priority="805" operator="containsText" text="Dasar rekayasa">
      <formula>NOT(ISERROR(SEARCH("Dasar rekayasa",F110)))</formula>
    </cfRule>
    <cfRule type="containsText" dxfId="954" priority="806" operator="containsText" text="PBA">
      <formula>NOT(ISERROR(SEARCH("PBA",F110)))</formula>
    </cfRule>
    <cfRule type="containsText" dxfId="953" priority="807" operator="containsText" text="Keamanan">
      <formula>NOT(ISERROR(SEARCH("Keamanan",F110)))</formula>
    </cfRule>
    <cfRule type="containsText" dxfId="952" priority="808" operator="containsText" text="Otomata">
      <formula>NOT(ISERROR(SEARCH("Otomata",F110)))</formula>
    </cfRule>
    <cfRule type="containsText" dxfId="951" priority="809" operator="containsText" text="Sistem Pendukung">
      <formula>NOT(ISERROR(SEARCH("Sistem Pendukung",F110)))</formula>
    </cfRule>
    <cfRule type="containsText" dxfId="950" priority="810" operator="containsText" text="Matematika">
      <formula>NOT(ISERROR(SEARCH("Matematika",F110)))</formula>
    </cfRule>
  </conditionalFormatting>
  <conditionalFormatting sqref="F111">
    <cfRule type="containsText" dxfId="949" priority="781" operator="containsText" text="SIG">
      <formula>NOT(ISERROR(SEARCH("SIG",F111)))</formula>
    </cfRule>
    <cfRule type="containsText" dxfId="948" priority="782" operator="containsText" text="Analisis">
      <formula>NOT(ISERROR(SEARCH("Analisis",F111)))</formula>
    </cfRule>
    <cfRule type="containsText" dxfId="947" priority="783" operator="containsText" text="Sistem Paralel">
      <formula>NOT(ISERROR(SEARCH("Sistem Paralel",F111)))</formula>
    </cfRule>
    <cfRule type="containsText" dxfId="946" priority="784" operator="containsText" text="Probabilitas">
      <formula>NOT(ISERROR(SEARCH("Probabilitas",F111)))</formula>
    </cfRule>
    <cfRule type="containsText" dxfId="945" priority="785" operator="containsText" text="Organisasi">
      <formula>NOT(ISERROR(SEARCH("Organisasi",F111)))</formula>
    </cfRule>
    <cfRule type="containsText" dxfId="944" priority="786" operator="containsText" text="proyek">
      <formula>NOT(ISERROR(SEARCH("proyek",F111)))</formula>
    </cfRule>
    <cfRule type="containsText" dxfId="943" priority="787" operator="containsText" text="Manajemen">
      <formula>NOT(ISERROR(SEARCH("Manajemen",F111)))</formula>
    </cfRule>
    <cfRule type="containsText" dxfId="942" priority="788" operator="containsText" text="Pemrograman">
      <formula>NOT(ISERROR(SEARCH("Pemrograman",F111)))</formula>
    </cfRule>
    <cfRule type="containsText" dxfId="941" priority="789" operator="containsText" text="Struktur">
      <formula>NOT(ISERROR(SEARCH("Struktur",F111)))</formula>
    </cfRule>
    <cfRule type="containsText" dxfId="940" priority="790" operator="containsText" text="Dasar rekayasa">
      <formula>NOT(ISERROR(SEARCH("Dasar rekayasa",F111)))</formula>
    </cfRule>
    <cfRule type="containsText" dxfId="939" priority="791" operator="containsText" text="PBA">
      <formula>NOT(ISERROR(SEARCH("PBA",F111)))</formula>
    </cfRule>
    <cfRule type="containsText" dxfId="938" priority="792" operator="containsText" text="Keamanan">
      <formula>NOT(ISERROR(SEARCH("Keamanan",F111)))</formula>
    </cfRule>
    <cfRule type="containsText" dxfId="937" priority="793" operator="containsText" text="Otomata">
      <formula>NOT(ISERROR(SEARCH("Otomata",F111)))</formula>
    </cfRule>
    <cfRule type="containsText" dxfId="936" priority="794" operator="containsText" text="Sistem Pendukung">
      <formula>NOT(ISERROR(SEARCH("Sistem Pendukung",F111)))</formula>
    </cfRule>
    <cfRule type="containsText" dxfId="935" priority="795" operator="containsText" text="Matematika">
      <formula>NOT(ISERROR(SEARCH("Matematika",F111)))</formula>
    </cfRule>
  </conditionalFormatting>
  <conditionalFormatting sqref="K115:L120">
    <cfRule type="duplicateValues" dxfId="934" priority="3224"/>
  </conditionalFormatting>
  <conditionalFormatting sqref="F22">
    <cfRule type="containsText" dxfId="933" priority="751" operator="containsText" text="SIG">
      <formula>NOT(ISERROR(SEARCH("SIG",F22)))</formula>
    </cfRule>
    <cfRule type="containsText" dxfId="932" priority="752" operator="containsText" text="Analisis">
      <formula>NOT(ISERROR(SEARCH("Analisis",F22)))</formula>
    </cfRule>
    <cfRule type="containsText" dxfId="931" priority="753" operator="containsText" text="Sistem Paralel">
      <formula>NOT(ISERROR(SEARCH("Sistem Paralel",F22)))</formula>
    </cfRule>
    <cfRule type="containsText" dxfId="930" priority="754" operator="containsText" text="Probabilitas">
      <formula>NOT(ISERROR(SEARCH("Probabilitas",F22)))</formula>
    </cfRule>
    <cfRule type="containsText" dxfId="929" priority="755" operator="containsText" text="Organisasi">
      <formula>NOT(ISERROR(SEARCH("Organisasi",F22)))</formula>
    </cfRule>
    <cfRule type="containsText" dxfId="928" priority="756" operator="containsText" text="proyek">
      <formula>NOT(ISERROR(SEARCH("proyek",F22)))</formula>
    </cfRule>
    <cfRule type="containsText" dxfId="927" priority="757" operator="containsText" text="Manajemen">
      <formula>NOT(ISERROR(SEARCH("Manajemen",F22)))</formula>
    </cfRule>
    <cfRule type="containsText" dxfId="926" priority="758" operator="containsText" text="Pemrograman">
      <formula>NOT(ISERROR(SEARCH("Pemrograman",F22)))</formula>
    </cfRule>
    <cfRule type="containsText" dxfId="925" priority="759" operator="containsText" text="Struktur">
      <formula>NOT(ISERROR(SEARCH("Struktur",F22)))</formula>
    </cfRule>
    <cfRule type="containsText" dxfId="924" priority="760" operator="containsText" text="Dasar rekayasa">
      <formula>NOT(ISERROR(SEARCH("Dasar rekayasa",F22)))</formula>
    </cfRule>
    <cfRule type="containsText" dxfId="923" priority="761" operator="containsText" text="PBA">
      <formula>NOT(ISERROR(SEARCH("PBA",F22)))</formula>
    </cfRule>
    <cfRule type="containsText" dxfId="922" priority="762" operator="containsText" text="Keamanan">
      <formula>NOT(ISERROR(SEARCH("Keamanan",F22)))</formula>
    </cfRule>
    <cfRule type="containsText" dxfId="921" priority="763" operator="containsText" text="Otomata">
      <formula>NOT(ISERROR(SEARCH("Otomata",F22)))</formula>
    </cfRule>
    <cfRule type="containsText" dxfId="920" priority="764" operator="containsText" text="Sistem Pendukung">
      <formula>NOT(ISERROR(SEARCH("Sistem Pendukung",F22)))</formula>
    </cfRule>
    <cfRule type="containsText" dxfId="919" priority="765" operator="containsText" text="Matematika">
      <formula>NOT(ISERROR(SEARCH("Matematika",F22)))</formula>
    </cfRule>
  </conditionalFormatting>
  <conditionalFormatting sqref="K97:L101">
    <cfRule type="duplicateValues" dxfId="918" priority="3257"/>
  </conditionalFormatting>
  <conditionalFormatting sqref="F8">
    <cfRule type="containsText" dxfId="917" priority="676" operator="containsText" text="SIG">
      <formula>NOT(ISERROR(SEARCH("SIG",F8)))</formula>
    </cfRule>
    <cfRule type="containsText" dxfId="916" priority="677" operator="containsText" text="Analisis">
      <formula>NOT(ISERROR(SEARCH("Analisis",F8)))</formula>
    </cfRule>
    <cfRule type="containsText" dxfId="915" priority="678" operator="containsText" text="Sistem Paralel">
      <formula>NOT(ISERROR(SEARCH("Sistem Paralel",F8)))</formula>
    </cfRule>
    <cfRule type="containsText" dxfId="914" priority="679" operator="containsText" text="Probabilitas">
      <formula>NOT(ISERROR(SEARCH("Probabilitas",F8)))</formula>
    </cfRule>
    <cfRule type="containsText" dxfId="913" priority="680" operator="containsText" text="Organisasi">
      <formula>NOT(ISERROR(SEARCH("Organisasi",F8)))</formula>
    </cfRule>
    <cfRule type="containsText" dxfId="912" priority="681" operator="containsText" text="proyek">
      <formula>NOT(ISERROR(SEARCH("proyek",F8)))</formula>
    </cfRule>
    <cfRule type="containsText" dxfId="911" priority="682" operator="containsText" text="Manajemen">
      <formula>NOT(ISERROR(SEARCH("Manajemen",F8)))</formula>
    </cfRule>
    <cfRule type="containsText" dxfId="910" priority="683" operator="containsText" text="Pemrograman">
      <formula>NOT(ISERROR(SEARCH("Pemrograman",F8)))</formula>
    </cfRule>
    <cfRule type="containsText" dxfId="909" priority="684" operator="containsText" text="Struktur">
      <formula>NOT(ISERROR(SEARCH("Struktur",F8)))</formula>
    </cfRule>
    <cfRule type="containsText" dxfId="908" priority="685" operator="containsText" text="Dasar rekayasa">
      <formula>NOT(ISERROR(SEARCH("Dasar rekayasa",F8)))</formula>
    </cfRule>
    <cfRule type="containsText" dxfId="907" priority="686" operator="containsText" text="PBA">
      <formula>NOT(ISERROR(SEARCH("PBA",F8)))</formula>
    </cfRule>
    <cfRule type="containsText" dxfId="906" priority="687" operator="containsText" text="Keamanan">
      <formula>NOT(ISERROR(SEARCH("Keamanan",F8)))</formula>
    </cfRule>
    <cfRule type="containsText" dxfId="905" priority="688" operator="containsText" text="Otomata">
      <formula>NOT(ISERROR(SEARCH("Otomata",F8)))</formula>
    </cfRule>
    <cfRule type="containsText" dxfId="904" priority="689" operator="containsText" text="Sistem Pendukung">
      <formula>NOT(ISERROR(SEARCH("Sistem Pendukung",F8)))</formula>
    </cfRule>
    <cfRule type="containsText" dxfId="903" priority="690" operator="containsText" text="Matematika">
      <formula>NOT(ISERROR(SEARCH("Matematika",F8)))</formula>
    </cfRule>
  </conditionalFormatting>
  <conditionalFormatting sqref="F10">
    <cfRule type="containsText" dxfId="902" priority="661" operator="containsText" text="SIG">
      <formula>NOT(ISERROR(SEARCH("SIG",F10)))</formula>
    </cfRule>
    <cfRule type="containsText" dxfId="901" priority="662" operator="containsText" text="Analisis">
      <formula>NOT(ISERROR(SEARCH("Analisis",F10)))</formula>
    </cfRule>
    <cfRule type="containsText" dxfId="900" priority="663" operator="containsText" text="Sistem Paralel">
      <formula>NOT(ISERROR(SEARCH("Sistem Paralel",F10)))</formula>
    </cfRule>
    <cfRule type="containsText" dxfId="899" priority="664" operator="containsText" text="Probabilitas">
      <formula>NOT(ISERROR(SEARCH("Probabilitas",F10)))</formula>
    </cfRule>
    <cfRule type="containsText" dxfId="898" priority="665" operator="containsText" text="Organisasi">
      <formula>NOT(ISERROR(SEARCH("Organisasi",F10)))</formula>
    </cfRule>
    <cfRule type="containsText" dxfId="897" priority="666" operator="containsText" text="proyek">
      <formula>NOT(ISERROR(SEARCH("proyek",F10)))</formula>
    </cfRule>
    <cfRule type="containsText" dxfId="896" priority="667" operator="containsText" text="Manajemen">
      <formula>NOT(ISERROR(SEARCH("Manajemen",F10)))</formula>
    </cfRule>
    <cfRule type="containsText" dxfId="895" priority="668" operator="containsText" text="Pemrograman">
      <formula>NOT(ISERROR(SEARCH("Pemrograman",F10)))</formula>
    </cfRule>
    <cfRule type="containsText" dxfId="894" priority="669" operator="containsText" text="Struktur">
      <formula>NOT(ISERROR(SEARCH("Struktur",F10)))</formula>
    </cfRule>
    <cfRule type="containsText" dxfId="893" priority="670" operator="containsText" text="Dasar rekayasa">
      <formula>NOT(ISERROR(SEARCH("Dasar rekayasa",F10)))</formula>
    </cfRule>
    <cfRule type="containsText" dxfId="892" priority="671" operator="containsText" text="PBA">
      <formula>NOT(ISERROR(SEARCH("PBA",F10)))</formula>
    </cfRule>
    <cfRule type="containsText" dxfId="891" priority="672" operator="containsText" text="Keamanan">
      <formula>NOT(ISERROR(SEARCH("Keamanan",F10)))</formula>
    </cfRule>
    <cfRule type="containsText" dxfId="890" priority="673" operator="containsText" text="Otomata">
      <formula>NOT(ISERROR(SEARCH("Otomata",F10)))</formula>
    </cfRule>
    <cfRule type="containsText" dxfId="889" priority="674" operator="containsText" text="Sistem Pendukung">
      <formula>NOT(ISERROR(SEARCH("Sistem Pendukung",F10)))</formula>
    </cfRule>
    <cfRule type="containsText" dxfId="888" priority="675" operator="containsText" text="Matematika">
      <formula>NOT(ISERROR(SEARCH("Matematika",F10)))</formula>
    </cfRule>
  </conditionalFormatting>
  <conditionalFormatting sqref="F12">
    <cfRule type="containsText" dxfId="887" priority="646" operator="containsText" text="SIG">
      <formula>NOT(ISERROR(SEARCH("SIG",F12)))</formula>
    </cfRule>
    <cfRule type="containsText" dxfId="886" priority="647" operator="containsText" text="Analisis">
      <formula>NOT(ISERROR(SEARCH("Analisis",F12)))</formula>
    </cfRule>
    <cfRule type="containsText" dxfId="885" priority="648" operator="containsText" text="Sistem Paralel">
      <formula>NOT(ISERROR(SEARCH("Sistem Paralel",F12)))</formula>
    </cfRule>
    <cfRule type="containsText" dxfId="884" priority="649" operator="containsText" text="Probabilitas">
      <formula>NOT(ISERROR(SEARCH("Probabilitas",F12)))</formula>
    </cfRule>
    <cfRule type="containsText" dxfId="883" priority="650" operator="containsText" text="Organisasi">
      <formula>NOT(ISERROR(SEARCH("Organisasi",F12)))</formula>
    </cfRule>
    <cfRule type="containsText" dxfId="882" priority="651" operator="containsText" text="proyek">
      <formula>NOT(ISERROR(SEARCH("proyek",F12)))</formula>
    </cfRule>
    <cfRule type="containsText" dxfId="881" priority="652" operator="containsText" text="Manajemen">
      <formula>NOT(ISERROR(SEARCH("Manajemen",F12)))</formula>
    </cfRule>
    <cfRule type="containsText" dxfId="880" priority="653" operator="containsText" text="Pemrograman">
      <formula>NOT(ISERROR(SEARCH("Pemrograman",F12)))</formula>
    </cfRule>
    <cfRule type="containsText" dxfId="879" priority="654" operator="containsText" text="Struktur">
      <formula>NOT(ISERROR(SEARCH("Struktur",F12)))</formula>
    </cfRule>
    <cfRule type="containsText" dxfId="878" priority="655" operator="containsText" text="Dasar rekayasa">
      <formula>NOT(ISERROR(SEARCH("Dasar rekayasa",F12)))</formula>
    </cfRule>
    <cfRule type="containsText" dxfId="877" priority="656" operator="containsText" text="PBA">
      <formula>NOT(ISERROR(SEARCH("PBA",F12)))</formula>
    </cfRule>
    <cfRule type="containsText" dxfId="876" priority="657" operator="containsText" text="Keamanan">
      <formula>NOT(ISERROR(SEARCH("Keamanan",F12)))</formula>
    </cfRule>
    <cfRule type="containsText" dxfId="875" priority="658" operator="containsText" text="Otomata">
      <formula>NOT(ISERROR(SEARCH("Otomata",F12)))</formula>
    </cfRule>
    <cfRule type="containsText" dxfId="874" priority="659" operator="containsText" text="Sistem Pendukung">
      <formula>NOT(ISERROR(SEARCH("Sistem Pendukung",F12)))</formula>
    </cfRule>
    <cfRule type="containsText" dxfId="873" priority="660" operator="containsText" text="Matematika">
      <formula>NOT(ISERROR(SEARCH("Matematika",F12)))</formula>
    </cfRule>
  </conditionalFormatting>
  <conditionalFormatting sqref="F127">
    <cfRule type="containsText" dxfId="872" priority="631" operator="containsText" text="SIG">
      <formula>NOT(ISERROR(SEARCH("SIG",F127)))</formula>
    </cfRule>
    <cfRule type="containsText" dxfId="871" priority="632" operator="containsText" text="Analisis">
      <formula>NOT(ISERROR(SEARCH("Analisis",F127)))</formula>
    </cfRule>
    <cfRule type="containsText" dxfId="870" priority="633" operator="containsText" text="Sistem Paralel">
      <formula>NOT(ISERROR(SEARCH("Sistem Paralel",F127)))</formula>
    </cfRule>
    <cfRule type="containsText" dxfId="869" priority="634" operator="containsText" text="Probabilitas">
      <formula>NOT(ISERROR(SEARCH("Probabilitas",F127)))</formula>
    </cfRule>
    <cfRule type="containsText" dxfId="868" priority="635" operator="containsText" text="Organisasi">
      <formula>NOT(ISERROR(SEARCH("Organisasi",F127)))</formula>
    </cfRule>
    <cfRule type="containsText" dxfId="867" priority="636" operator="containsText" text="proyek">
      <formula>NOT(ISERROR(SEARCH("proyek",F127)))</formula>
    </cfRule>
    <cfRule type="containsText" dxfId="866" priority="637" operator="containsText" text="Manajemen">
      <formula>NOT(ISERROR(SEARCH("Manajemen",F127)))</formula>
    </cfRule>
    <cfRule type="containsText" dxfId="865" priority="638" operator="containsText" text="Pemrograman">
      <formula>NOT(ISERROR(SEARCH("Pemrograman",F127)))</formula>
    </cfRule>
    <cfRule type="containsText" dxfId="864" priority="639" operator="containsText" text="Struktur">
      <formula>NOT(ISERROR(SEARCH("Struktur",F127)))</formula>
    </cfRule>
    <cfRule type="containsText" dxfId="863" priority="640" operator="containsText" text="Dasar rekayasa">
      <formula>NOT(ISERROR(SEARCH("Dasar rekayasa",F127)))</formula>
    </cfRule>
    <cfRule type="containsText" dxfId="862" priority="641" operator="containsText" text="PBA">
      <formula>NOT(ISERROR(SEARCH("PBA",F127)))</formula>
    </cfRule>
    <cfRule type="containsText" dxfId="861" priority="642" operator="containsText" text="Keamanan">
      <formula>NOT(ISERROR(SEARCH("Keamanan",F127)))</formula>
    </cfRule>
    <cfRule type="containsText" dxfId="860" priority="643" operator="containsText" text="Otomata">
      <formula>NOT(ISERROR(SEARCH("Otomata",F127)))</formula>
    </cfRule>
    <cfRule type="containsText" dxfId="859" priority="644" operator="containsText" text="Sistem Pendukung">
      <formula>NOT(ISERROR(SEARCH("Sistem Pendukung",F127)))</formula>
    </cfRule>
    <cfRule type="containsText" dxfId="858" priority="645" operator="containsText" text="Matematika">
      <formula>NOT(ISERROR(SEARCH("Matematika",F127)))</formula>
    </cfRule>
  </conditionalFormatting>
  <conditionalFormatting sqref="F55">
    <cfRule type="containsText" dxfId="857" priority="586" operator="containsText" text="SIG">
      <formula>NOT(ISERROR(SEARCH("SIG",F55)))</formula>
    </cfRule>
    <cfRule type="containsText" dxfId="856" priority="587" operator="containsText" text="Analisis">
      <formula>NOT(ISERROR(SEARCH("Analisis",F55)))</formula>
    </cfRule>
    <cfRule type="containsText" dxfId="855" priority="588" operator="containsText" text="Sistem Paralel">
      <formula>NOT(ISERROR(SEARCH("Sistem Paralel",F55)))</formula>
    </cfRule>
    <cfRule type="containsText" dxfId="854" priority="589" operator="containsText" text="Probabilitas">
      <formula>NOT(ISERROR(SEARCH("Probabilitas",F55)))</formula>
    </cfRule>
    <cfRule type="containsText" dxfId="853" priority="590" operator="containsText" text="Organisasi">
      <formula>NOT(ISERROR(SEARCH("Organisasi",F55)))</formula>
    </cfRule>
    <cfRule type="containsText" dxfId="852" priority="591" operator="containsText" text="proyek">
      <formula>NOT(ISERROR(SEARCH("proyek",F55)))</formula>
    </cfRule>
    <cfRule type="containsText" dxfId="851" priority="592" operator="containsText" text="Manajemen">
      <formula>NOT(ISERROR(SEARCH("Manajemen",F55)))</formula>
    </cfRule>
    <cfRule type="containsText" dxfId="850" priority="593" operator="containsText" text="Pemrograman">
      <formula>NOT(ISERROR(SEARCH("Pemrograman",F55)))</formula>
    </cfRule>
    <cfRule type="containsText" dxfId="849" priority="594" operator="containsText" text="Struktur">
      <formula>NOT(ISERROR(SEARCH("Struktur",F55)))</formula>
    </cfRule>
    <cfRule type="containsText" dxfId="848" priority="595" operator="containsText" text="Dasar rekayasa">
      <formula>NOT(ISERROR(SEARCH("Dasar rekayasa",F55)))</formula>
    </cfRule>
    <cfRule type="containsText" dxfId="847" priority="596" operator="containsText" text="PBA">
      <formula>NOT(ISERROR(SEARCH("PBA",F55)))</formula>
    </cfRule>
    <cfRule type="containsText" dxfId="846" priority="597" operator="containsText" text="Keamanan">
      <formula>NOT(ISERROR(SEARCH("Keamanan",F55)))</formula>
    </cfRule>
    <cfRule type="containsText" dxfId="845" priority="598" operator="containsText" text="Otomata">
      <formula>NOT(ISERROR(SEARCH("Otomata",F55)))</formula>
    </cfRule>
    <cfRule type="containsText" dxfId="844" priority="599" operator="containsText" text="Sistem Pendukung">
      <formula>NOT(ISERROR(SEARCH("Sistem Pendukung",F55)))</formula>
    </cfRule>
    <cfRule type="containsText" dxfId="843" priority="600" operator="containsText" text="Matematika">
      <formula>NOT(ISERROR(SEARCH("Matematika",F55)))</formula>
    </cfRule>
  </conditionalFormatting>
  <conditionalFormatting sqref="F54">
    <cfRule type="containsText" dxfId="842" priority="571" operator="containsText" text="SIG">
      <formula>NOT(ISERROR(SEARCH("SIG",F54)))</formula>
    </cfRule>
    <cfRule type="containsText" dxfId="841" priority="572" operator="containsText" text="Analisis">
      <formula>NOT(ISERROR(SEARCH("Analisis",F54)))</formula>
    </cfRule>
    <cfRule type="containsText" dxfId="840" priority="573" operator="containsText" text="Sistem Paralel">
      <formula>NOT(ISERROR(SEARCH("Sistem Paralel",F54)))</formula>
    </cfRule>
    <cfRule type="containsText" dxfId="839" priority="574" operator="containsText" text="Probabilitas">
      <formula>NOT(ISERROR(SEARCH("Probabilitas",F54)))</formula>
    </cfRule>
    <cfRule type="containsText" dxfId="838" priority="575" operator="containsText" text="Organisasi">
      <formula>NOT(ISERROR(SEARCH("Organisasi",F54)))</formula>
    </cfRule>
    <cfRule type="containsText" dxfId="837" priority="576" operator="containsText" text="proyek">
      <formula>NOT(ISERROR(SEARCH("proyek",F54)))</formula>
    </cfRule>
    <cfRule type="containsText" dxfId="836" priority="577" operator="containsText" text="Manajemen">
      <formula>NOT(ISERROR(SEARCH("Manajemen",F54)))</formula>
    </cfRule>
    <cfRule type="containsText" dxfId="835" priority="578" operator="containsText" text="Pemrograman">
      <formula>NOT(ISERROR(SEARCH("Pemrograman",F54)))</formula>
    </cfRule>
    <cfRule type="containsText" dxfId="834" priority="579" operator="containsText" text="Struktur">
      <formula>NOT(ISERROR(SEARCH("Struktur",F54)))</formula>
    </cfRule>
    <cfRule type="containsText" dxfId="833" priority="580" operator="containsText" text="Dasar rekayasa">
      <formula>NOT(ISERROR(SEARCH("Dasar rekayasa",F54)))</formula>
    </cfRule>
    <cfRule type="containsText" dxfId="832" priority="581" operator="containsText" text="PBA">
      <formula>NOT(ISERROR(SEARCH("PBA",F54)))</formula>
    </cfRule>
    <cfRule type="containsText" dxfId="831" priority="582" operator="containsText" text="Keamanan">
      <formula>NOT(ISERROR(SEARCH("Keamanan",F54)))</formula>
    </cfRule>
    <cfRule type="containsText" dxfId="830" priority="583" operator="containsText" text="Otomata">
      <formula>NOT(ISERROR(SEARCH("Otomata",F54)))</formula>
    </cfRule>
    <cfRule type="containsText" dxfId="829" priority="584" operator="containsText" text="Sistem Pendukung">
      <formula>NOT(ISERROR(SEARCH("Sistem Pendukung",F54)))</formula>
    </cfRule>
    <cfRule type="containsText" dxfId="828" priority="585" operator="containsText" text="Matematika">
      <formula>NOT(ISERROR(SEARCH("Matematika",F54)))</formula>
    </cfRule>
  </conditionalFormatting>
  <conditionalFormatting sqref="F58:F64">
    <cfRule type="containsText" dxfId="827" priority="496" operator="containsText" text="SIG">
      <formula>NOT(ISERROR(SEARCH("SIG",F58)))</formula>
    </cfRule>
    <cfRule type="containsText" dxfId="826" priority="497" operator="containsText" text="Analisis">
      <formula>NOT(ISERROR(SEARCH("Analisis",F58)))</formula>
    </cfRule>
    <cfRule type="containsText" dxfId="825" priority="498" operator="containsText" text="Sistem Paralel">
      <formula>NOT(ISERROR(SEARCH("Sistem Paralel",F58)))</formula>
    </cfRule>
    <cfRule type="containsText" dxfId="824" priority="499" operator="containsText" text="Probabilitas">
      <formula>NOT(ISERROR(SEARCH("Probabilitas",F58)))</formula>
    </cfRule>
    <cfRule type="containsText" dxfId="823" priority="500" operator="containsText" text="Organisasi">
      <formula>NOT(ISERROR(SEARCH("Organisasi",F58)))</formula>
    </cfRule>
    <cfRule type="containsText" dxfId="822" priority="501" operator="containsText" text="proyek">
      <formula>NOT(ISERROR(SEARCH("proyek",F58)))</formula>
    </cfRule>
    <cfRule type="containsText" dxfId="821" priority="502" operator="containsText" text="Manajemen">
      <formula>NOT(ISERROR(SEARCH("Manajemen",F58)))</formula>
    </cfRule>
    <cfRule type="containsText" dxfId="820" priority="503" operator="containsText" text="Pemrograman">
      <formula>NOT(ISERROR(SEARCH("Pemrograman",F58)))</formula>
    </cfRule>
    <cfRule type="containsText" dxfId="819" priority="504" operator="containsText" text="Struktur">
      <formula>NOT(ISERROR(SEARCH("Struktur",F58)))</formula>
    </cfRule>
    <cfRule type="containsText" dxfId="818" priority="505" operator="containsText" text="Dasar rekayasa">
      <formula>NOT(ISERROR(SEARCH("Dasar rekayasa",F58)))</formula>
    </cfRule>
    <cfRule type="containsText" dxfId="817" priority="506" operator="containsText" text="PBA">
      <formula>NOT(ISERROR(SEARCH("PBA",F58)))</formula>
    </cfRule>
    <cfRule type="containsText" dxfId="816" priority="507" operator="containsText" text="Keamanan">
      <formula>NOT(ISERROR(SEARCH("Keamanan",F58)))</formula>
    </cfRule>
    <cfRule type="containsText" dxfId="815" priority="508" operator="containsText" text="Otomata">
      <formula>NOT(ISERROR(SEARCH("Otomata",F58)))</formula>
    </cfRule>
    <cfRule type="containsText" dxfId="814" priority="509" operator="containsText" text="Sistem Pendukung">
      <formula>NOT(ISERROR(SEARCH("Sistem Pendukung",F58)))</formula>
    </cfRule>
    <cfRule type="containsText" dxfId="813" priority="510" operator="containsText" text="Matematika">
      <formula>NOT(ISERROR(SEARCH("Matematika",F58)))</formula>
    </cfRule>
  </conditionalFormatting>
  <conditionalFormatting sqref="F76 F78 F80">
    <cfRule type="containsText" dxfId="812" priority="481" operator="containsText" text="SIG">
      <formula>NOT(ISERROR(SEARCH("SIG",F76)))</formula>
    </cfRule>
    <cfRule type="containsText" dxfId="811" priority="482" operator="containsText" text="Analisis">
      <formula>NOT(ISERROR(SEARCH("Analisis",F76)))</formula>
    </cfRule>
    <cfRule type="containsText" dxfId="810" priority="483" operator="containsText" text="Sistem Paralel">
      <formula>NOT(ISERROR(SEARCH("Sistem Paralel",F76)))</formula>
    </cfRule>
    <cfRule type="containsText" dxfId="809" priority="484" operator="containsText" text="Probabilitas">
      <formula>NOT(ISERROR(SEARCH("Probabilitas",F76)))</formula>
    </cfRule>
    <cfRule type="containsText" dxfId="808" priority="485" operator="containsText" text="Organisasi">
      <formula>NOT(ISERROR(SEARCH("Organisasi",F76)))</formula>
    </cfRule>
    <cfRule type="containsText" dxfId="807" priority="486" operator="containsText" text="proyek">
      <formula>NOT(ISERROR(SEARCH("proyek",F76)))</formula>
    </cfRule>
    <cfRule type="containsText" dxfId="806" priority="487" operator="containsText" text="Manajemen">
      <formula>NOT(ISERROR(SEARCH("Manajemen",F76)))</formula>
    </cfRule>
    <cfRule type="containsText" dxfId="805" priority="488" operator="containsText" text="Pemrograman">
      <formula>NOT(ISERROR(SEARCH("Pemrograman",F76)))</formula>
    </cfRule>
    <cfRule type="containsText" dxfId="804" priority="489" operator="containsText" text="Struktur">
      <formula>NOT(ISERROR(SEARCH("Struktur",F76)))</formula>
    </cfRule>
    <cfRule type="containsText" dxfId="803" priority="490" operator="containsText" text="Dasar rekayasa">
      <formula>NOT(ISERROR(SEARCH("Dasar rekayasa",F76)))</formula>
    </cfRule>
    <cfRule type="containsText" dxfId="802" priority="491" operator="containsText" text="PBA">
      <formula>NOT(ISERROR(SEARCH("PBA",F76)))</formula>
    </cfRule>
    <cfRule type="containsText" dxfId="801" priority="492" operator="containsText" text="Keamanan">
      <formula>NOT(ISERROR(SEARCH("Keamanan",F76)))</formula>
    </cfRule>
    <cfRule type="containsText" dxfId="800" priority="493" operator="containsText" text="Otomata">
      <formula>NOT(ISERROR(SEARCH("Otomata",F76)))</formula>
    </cfRule>
    <cfRule type="containsText" dxfId="799" priority="494" operator="containsText" text="Sistem Pendukung">
      <formula>NOT(ISERROR(SEARCH("Sistem Pendukung",F76)))</formula>
    </cfRule>
    <cfRule type="containsText" dxfId="798" priority="495" operator="containsText" text="Matematika">
      <formula>NOT(ISERROR(SEARCH("Matematika",F76)))</formula>
    </cfRule>
  </conditionalFormatting>
  <conditionalFormatting sqref="F77">
    <cfRule type="containsText" dxfId="797" priority="466" operator="containsText" text="SIG">
      <formula>NOT(ISERROR(SEARCH("SIG",F77)))</formula>
    </cfRule>
    <cfRule type="containsText" dxfId="796" priority="467" operator="containsText" text="Analisis">
      <formula>NOT(ISERROR(SEARCH("Analisis",F77)))</formula>
    </cfRule>
    <cfRule type="containsText" dxfId="795" priority="468" operator="containsText" text="Sistem Paralel">
      <formula>NOT(ISERROR(SEARCH("Sistem Paralel",F77)))</formula>
    </cfRule>
    <cfRule type="containsText" dxfId="794" priority="469" operator="containsText" text="Probabilitas">
      <formula>NOT(ISERROR(SEARCH("Probabilitas",F77)))</formula>
    </cfRule>
    <cfRule type="containsText" dxfId="793" priority="470" operator="containsText" text="Organisasi">
      <formula>NOT(ISERROR(SEARCH("Organisasi",F77)))</formula>
    </cfRule>
    <cfRule type="containsText" dxfId="792" priority="471" operator="containsText" text="proyek">
      <formula>NOT(ISERROR(SEARCH("proyek",F77)))</formula>
    </cfRule>
    <cfRule type="containsText" dxfId="791" priority="472" operator="containsText" text="Manajemen">
      <formula>NOT(ISERROR(SEARCH("Manajemen",F77)))</formula>
    </cfRule>
    <cfRule type="containsText" dxfId="790" priority="473" operator="containsText" text="Pemrograman">
      <formula>NOT(ISERROR(SEARCH("Pemrograman",F77)))</formula>
    </cfRule>
    <cfRule type="containsText" dxfId="789" priority="474" operator="containsText" text="Struktur">
      <formula>NOT(ISERROR(SEARCH("Struktur",F77)))</formula>
    </cfRule>
    <cfRule type="containsText" dxfId="788" priority="475" operator="containsText" text="Dasar rekayasa">
      <formula>NOT(ISERROR(SEARCH("Dasar rekayasa",F77)))</formula>
    </cfRule>
    <cfRule type="containsText" dxfId="787" priority="476" operator="containsText" text="PBA">
      <formula>NOT(ISERROR(SEARCH("PBA",F77)))</formula>
    </cfRule>
    <cfRule type="containsText" dxfId="786" priority="477" operator="containsText" text="Keamanan">
      <formula>NOT(ISERROR(SEARCH("Keamanan",F77)))</formula>
    </cfRule>
    <cfRule type="containsText" dxfId="785" priority="478" operator="containsText" text="Otomata">
      <formula>NOT(ISERROR(SEARCH("Otomata",F77)))</formula>
    </cfRule>
    <cfRule type="containsText" dxfId="784" priority="479" operator="containsText" text="Sistem Pendukung">
      <formula>NOT(ISERROR(SEARCH("Sistem Pendukung",F77)))</formula>
    </cfRule>
    <cfRule type="containsText" dxfId="783" priority="480" operator="containsText" text="Matematika">
      <formula>NOT(ISERROR(SEARCH("Matematika",F77)))</formula>
    </cfRule>
  </conditionalFormatting>
  <conditionalFormatting sqref="F79">
    <cfRule type="containsText" dxfId="782" priority="451" operator="containsText" text="SIG">
      <formula>NOT(ISERROR(SEARCH("SIG",F79)))</formula>
    </cfRule>
    <cfRule type="containsText" dxfId="781" priority="452" operator="containsText" text="Analisis">
      <formula>NOT(ISERROR(SEARCH("Analisis",F79)))</formula>
    </cfRule>
    <cfRule type="containsText" dxfId="780" priority="453" operator="containsText" text="Sistem Paralel">
      <formula>NOT(ISERROR(SEARCH("Sistem Paralel",F79)))</formula>
    </cfRule>
    <cfRule type="containsText" dxfId="779" priority="454" operator="containsText" text="Probabilitas">
      <formula>NOT(ISERROR(SEARCH("Probabilitas",F79)))</formula>
    </cfRule>
    <cfRule type="containsText" dxfId="778" priority="455" operator="containsText" text="Organisasi">
      <formula>NOT(ISERROR(SEARCH("Organisasi",F79)))</formula>
    </cfRule>
    <cfRule type="containsText" dxfId="777" priority="456" operator="containsText" text="proyek">
      <formula>NOT(ISERROR(SEARCH("proyek",F79)))</formula>
    </cfRule>
    <cfRule type="containsText" dxfId="776" priority="457" operator="containsText" text="Manajemen">
      <formula>NOT(ISERROR(SEARCH("Manajemen",F79)))</formula>
    </cfRule>
    <cfRule type="containsText" dxfId="775" priority="458" operator="containsText" text="Pemrograman">
      <formula>NOT(ISERROR(SEARCH("Pemrograman",F79)))</formula>
    </cfRule>
    <cfRule type="containsText" dxfId="774" priority="459" operator="containsText" text="Struktur">
      <formula>NOT(ISERROR(SEARCH("Struktur",F79)))</formula>
    </cfRule>
    <cfRule type="containsText" dxfId="773" priority="460" operator="containsText" text="Dasar rekayasa">
      <formula>NOT(ISERROR(SEARCH("Dasar rekayasa",F79)))</formula>
    </cfRule>
    <cfRule type="containsText" dxfId="772" priority="461" operator="containsText" text="PBA">
      <formula>NOT(ISERROR(SEARCH("PBA",F79)))</formula>
    </cfRule>
    <cfRule type="containsText" dxfId="771" priority="462" operator="containsText" text="Keamanan">
      <formula>NOT(ISERROR(SEARCH("Keamanan",F79)))</formula>
    </cfRule>
    <cfRule type="containsText" dxfId="770" priority="463" operator="containsText" text="Otomata">
      <formula>NOT(ISERROR(SEARCH("Otomata",F79)))</formula>
    </cfRule>
    <cfRule type="containsText" dxfId="769" priority="464" operator="containsText" text="Sistem Pendukung">
      <formula>NOT(ISERROR(SEARCH("Sistem Pendukung",F79)))</formula>
    </cfRule>
    <cfRule type="containsText" dxfId="768" priority="465" operator="containsText" text="Matematika">
      <formula>NOT(ISERROR(SEARCH("Matematika",F79)))</formula>
    </cfRule>
  </conditionalFormatting>
  <conditionalFormatting sqref="F81">
    <cfRule type="containsText" dxfId="767" priority="436" operator="containsText" text="SIG">
      <formula>NOT(ISERROR(SEARCH("SIG",F81)))</formula>
    </cfRule>
    <cfRule type="containsText" dxfId="766" priority="437" operator="containsText" text="Analisis">
      <formula>NOT(ISERROR(SEARCH("Analisis",F81)))</formula>
    </cfRule>
    <cfRule type="containsText" dxfId="765" priority="438" operator="containsText" text="Sistem Paralel">
      <formula>NOT(ISERROR(SEARCH("Sistem Paralel",F81)))</formula>
    </cfRule>
    <cfRule type="containsText" dxfId="764" priority="439" operator="containsText" text="Probabilitas">
      <formula>NOT(ISERROR(SEARCH("Probabilitas",F81)))</formula>
    </cfRule>
    <cfRule type="containsText" dxfId="763" priority="440" operator="containsText" text="Organisasi">
      <formula>NOT(ISERROR(SEARCH("Organisasi",F81)))</formula>
    </cfRule>
    <cfRule type="containsText" dxfId="762" priority="441" operator="containsText" text="proyek">
      <formula>NOT(ISERROR(SEARCH("proyek",F81)))</formula>
    </cfRule>
    <cfRule type="containsText" dxfId="761" priority="442" operator="containsText" text="Manajemen">
      <formula>NOT(ISERROR(SEARCH("Manajemen",F81)))</formula>
    </cfRule>
    <cfRule type="containsText" dxfId="760" priority="443" operator="containsText" text="Pemrograman">
      <formula>NOT(ISERROR(SEARCH("Pemrograman",F81)))</formula>
    </cfRule>
    <cfRule type="containsText" dxfId="759" priority="444" operator="containsText" text="Struktur">
      <formula>NOT(ISERROR(SEARCH("Struktur",F81)))</formula>
    </cfRule>
    <cfRule type="containsText" dxfId="758" priority="445" operator="containsText" text="Dasar rekayasa">
      <formula>NOT(ISERROR(SEARCH("Dasar rekayasa",F81)))</formula>
    </cfRule>
    <cfRule type="containsText" dxfId="757" priority="446" operator="containsText" text="PBA">
      <formula>NOT(ISERROR(SEARCH("PBA",F81)))</formula>
    </cfRule>
    <cfRule type="containsText" dxfId="756" priority="447" operator="containsText" text="Keamanan">
      <formula>NOT(ISERROR(SEARCH("Keamanan",F81)))</formula>
    </cfRule>
    <cfRule type="containsText" dxfId="755" priority="448" operator="containsText" text="Otomata">
      <formula>NOT(ISERROR(SEARCH("Otomata",F81)))</formula>
    </cfRule>
    <cfRule type="containsText" dxfId="754" priority="449" operator="containsText" text="Sistem Pendukung">
      <formula>NOT(ISERROR(SEARCH("Sistem Pendukung",F81)))</formula>
    </cfRule>
    <cfRule type="containsText" dxfId="753" priority="450" operator="containsText" text="Matematika">
      <formula>NOT(ISERROR(SEARCH("Matematika",F81)))</formula>
    </cfRule>
  </conditionalFormatting>
  <conditionalFormatting sqref="F28">
    <cfRule type="containsText" dxfId="752" priority="391" operator="containsText" text="SIG">
      <formula>NOT(ISERROR(SEARCH("SIG",F28)))</formula>
    </cfRule>
    <cfRule type="containsText" dxfId="751" priority="392" operator="containsText" text="Analisis">
      <formula>NOT(ISERROR(SEARCH("Analisis",F28)))</formula>
    </cfRule>
    <cfRule type="containsText" dxfId="750" priority="393" operator="containsText" text="Sistem Paralel">
      <formula>NOT(ISERROR(SEARCH("Sistem Paralel",F28)))</formula>
    </cfRule>
    <cfRule type="containsText" dxfId="749" priority="394" operator="containsText" text="Probabilitas">
      <formula>NOT(ISERROR(SEARCH("Probabilitas",F28)))</formula>
    </cfRule>
    <cfRule type="containsText" dxfId="748" priority="395" operator="containsText" text="Organisasi">
      <formula>NOT(ISERROR(SEARCH("Organisasi",F28)))</formula>
    </cfRule>
    <cfRule type="containsText" dxfId="747" priority="396" operator="containsText" text="proyek">
      <formula>NOT(ISERROR(SEARCH("proyek",F28)))</formula>
    </cfRule>
    <cfRule type="containsText" dxfId="746" priority="397" operator="containsText" text="Manajemen">
      <formula>NOT(ISERROR(SEARCH("Manajemen",F28)))</formula>
    </cfRule>
    <cfRule type="containsText" dxfId="745" priority="398" operator="containsText" text="Pemrograman">
      <formula>NOT(ISERROR(SEARCH("Pemrograman",F28)))</formula>
    </cfRule>
    <cfRule type="containsText" dxfId="744" priority="399" operator="containsText" text="Struktur">
      <formula>NOT(ISERROR(SEARCH("Struktur",F28)))</formula>
    </cfRule>
    <cfRule type="containsText" dxfId="743" priority="400" operator="containsText" text="Dasar rekayasa">
      <formula>NOT(ISERROR(SEARCH("Dasar rekayasa",F28)))</formula>
    </cfRule>
    <cfRule type="containsText" dxfId="742" priority="401" operator="containsText" text="PBA">
      <formula>NOT(ISERROR(SEARCH("PBA",F28)))</formula>
    </cfRule>
    <cfRule type="containsText" dxfId="741" priority="402" operator="containsText" text="Keamanan">
      <formula>NOT(ISERROR(SEARCH("Keamanan",F28)))</formula>
    </cfRule>
    <cfRule type="containsText" dxfId="740" priority="403" operator="containsText" text="Otomata">
      <formula>NOT(ISERROR(SEARCH("Otomata",F28)))</formula>
    </cfRule>
    <cfRule type="containsText" dxfId="739" priority="404" operator="containsText" text="Sistem Pendukung">
      <formula>NOT(ISERROR(SEARCH("Sistem Pendukung",F28)))</formula>
    </cfRule>
    <cfRule type="containsText" dxfId="738" priority="405" operator="containsText" text="Matematika">
      <formula>NOT(ISERROR(SEARCH("Matematika",F28)))</formula>
    </cfRule>
  </conditionalFormatting>
  <conditionalFormatting sqref="F30">
    <cfRule type="containsText" dxfId="737" priority="376" operator="containsText" text="SIG">
      <formula>NOT(ISERROR(SEARCH("SIG",F30)))</formula>
    </cfRule>
    <cfRule type="containsText" dxfId="736" priority="377" operator="containsText" text="Analisis">
      <formula>NOT(ISERROR(SEARCH("Analisis",F30)))</formula>
    </cfRule>
    <cfRule type="containsText" dxfId="735" priority="378" operator="containsText" text="Sistem Paralel">
      <formula>NOT(ISERROR(SEARCH("Sistem Paralel",F30)))</formula>
    </cfRule>
    <cfRule type="containsText" dxfId="734" priority="379" operator="containsText" text="Probabilitas">
      <formula>NOT(ISERROR(SEARCH("Probabilitas",F30)))</formula>
    </cfRule>
    <cfRule type="containsText" dxfId="733" priority="380" operator="containsText" text="Organisasi">
      <formula>NOT(ISERROR(SEARCH("Organisasi",F30)))</formula>
    </cfRule>
    <cfRule type="containsText" dxfId="732" priority="381" operator="containsText" text="proyek">
      <formula>NOT(ISERROR(SEARCH("proyek",F30)))</formula>
    </cfRule>
    <cfRule type="containsText" dxfId="731" priority="382" operator="containsText" text="Manajemen">
      <formula>NOT(ISERROR(SEARCH("Manajemen",F30)))</formula>
    </cfRule>
    <cfRule type="containsText" dxfId="730" priority="383" operator="containsText" text="Pemrograman">
      <formula>NOT(ISERROR(SEARCH("Pemrograman",F30)))</formula>
    </cfRule>
    <cfRule type="containsText" dxfId="729" priority="384" operator="containsText" text="Struktur">
      <formula>NOT(ISERROR(SEARCH("Struktur",F30)))</formula>
    </cfRule>
    <cfRule type="containsText" dxfId="728" priority="385" operator="containsText" text="Dasar rekayasa">
      <formula>NOT(ISERROR(SEARCH("Dasar rekayasa",F30)))</formula>
    </cfRule>
    <cfRule type="containsText" dxfId="727" priority="386" operator="containsText" text="PBA">
      <formula>NOT(ISERROR(SEARCH("PBA",F30)))</formula>
    </cfRule>
    <cfRule type="containsText" dxfId="726" priority="387" operator="containsText" text="Keamanan">
      <formula>NOT(ISERROR(SEARCH("Keamanan",F30)))</formula>
    </cfRule>
    <cfRule type="containsText" dxfId="725" priority="388" operator="containsText" text="Otomata">
      <formula>NOT(ISERROR(SEARCH("Otomata",F30)))</formula>
    </cfRule>
    <cfRule type="containsText" dxfId="724" priority="389" operator="containsText" text="Sistem Pendukung">
      <formula>NOT(ISERROR(SEARCH("Sistem Pendukung",F30)))</formula>
    </cfRule>
    <cfRule type="containsText" dxfId="723" priority="390" operator="containsText" text="Matematika">
      <formula>NOT(ISERROR(SEARCH("Matematika",F30)))</formula>
    </cfRule>
  </conditionalFormatting>
  <conditionalFormatting sqref="F27">
    <cfRule type="containsText" dxfId="722" priority="361" operator="containsText" text="SIG">
      <formula>NOT(ISERROR(SEARCH("SIG",F27)))</formula>
    </cfRule>
    <cfRule type="containsText" dxfId="721" priority="362" operator="containsText" text="Analisis">
      <formula>NOT(ISERROR(SEARCH("Analisis",F27)))</formula>
    </cfRule>
    <cfRule type="containsText" dxfId="720" priority="363" operator="containsText" text="Sistem Paralel">
      <formula>NOT(ISERROR(SEARCH("Sistem Paralel",F27)))</formula>
    </cfRule>
    <cfRule type="containsText" dxfId="719" priority="364" operator="containsText" text="Probabilitas">
      <formula>NOT(ISERROR(SEARCH("Probabilitas",F27)))</formula>
    </cfRule>
    <cfRule type="containsText" dxfId="718" priority="365" operator="containsText" text="Organisasi">
      <formula>NOT(ISERROR(SEARCH("Organisasi",F27)))</formula>
    </cfRule>
    <cfRule type="containsText" dxfId="717" priority="366" operator="containsText" text="proyek">
      <formula>NOT(ISERROR(SEARCH("proyek",F27)))</formula>
    </cfRule>
    <cfRule type="containsText" dxfId="716" priority="367" operator="containsText" text="Manajemen">
      <formula>NOT(ISERROR(SEARCH("Manajemen",F27)))</formula>
    </cfRule>
    <cfRule type="containsText" dxfId="715" priority="368" operator="containsText" text="Pemrograman">
      <formula>NOT(ISERROR(SEARCH("Pemrograman",F27)))</formula>
    </cfRule>
    <cfRule type="containsText" dxfId="714" priority="369" operator="containsText" text="Struktur">
      <formula>NOT(ISERROR(SEARCH("Struktur",F27)))</formula>
    </cfRule>
    <cfRule type="containsText" dxfId="713" priority="370" operator="containsText" text="Dasar rekayasa">
      <formula>NOT(ISERROR(SEARCH("Dasar rekayasa",F27)))</formula>
    </cfRule>
    <cfRule type="containsText" dxfId="712" priority="371" operator="containsText" text="PBA">
      <formula>NOT(ISERROR(SEARCH("PBA",F27)))</formula>
    </cfRule>
    <cfRule type="containsText" dxfId="711" priority="372" operator="containsText" text="Keamanan">
      <formula>NOT(ISERROR(SEARCH("Keamanan",F27)))</formula>
    </cfRule>
    <cfRule type="containsText" dxfId="710" priority="373" operator="containsText" text="Otomata">
      <formula>NOT(ISERROR(SEARCH("Otomata",F27)))</formula>
    </cfRule>
    <cfRule type="containsText" dxfId="709" priority="374" operator="containsText" text="Sistem Pendukung">
      <formula>NOT(ISERROR(SEARCH("Sistem Pendukung",F27)))</formula>
    </cfRule>
    <cfRule type="containsText" dxfId="708" priority="375" operator="containsText" text="Matematika">
      <formula>NOT(ISERROR(SEARCH("Matematika",F27)))</formula>
    </cfRule>
  </conditionalFormatting>
  <conditionalFormatting sqref="K28:L31">
    <cfRule type="duplicateValues" dxfId="707" priority="3314"/>
  </conditionalFormatting>
  <conditionalFormatting sqref="F15:F19">
    <cfRule type="containsText" dxfId="706" priority="346" operator="containsText" text="SIG">
      <formula>NOT(ISERROR(SEARCH("SIG",F15)))</formula>
    </cfRule>
    <cfRule type="containsText" dxfId="705" priority="347" operator="containsText" text="Analisis">
      <formula>NOT(ISERROR(SEARCH("Analisis",F15)))</formula>
    </cfRule>
    <cfRule type="containsText" dxfId="704" priority="348" operator="containsText" text="Sistem Paralel">
      <formula>NOT(ISERROR(SEARCH("Sistem Paralel",F15)))</formula>
    </cfRule>
    <cfRule type="containsText" dxfId="703" priority="349" operator="containsText" text="Probabilitas">
      <formula>NOT(ISERROR(SEARCH("Probabilitas",F15)))</formula>
    </cfRule>
    <cfRule type="containsText" dxfId="702" priority="350" operator="containsText" text="Organisasi">
      <formula>NOT(ISERROR(SEARCH("Organisasi",F15)))</formula>
    </cfRule>
    <cfRule type="containsText" dxfId="701" priority="351" operator="containsText" text="proyek">
      <formula>NOT(ISERROR(SEARCH("proyek",F15)))</formula>
    </cfRule>
    <cfRule type="containsText" dxfId="700" priority="352" operator="containsText" text="Manajemen">
      <formula>NOT(ISERROR(SEARCH("Manajemen",F15)))</formula>
    </cfRule>
    <cfRule type="containsText" dxfId="699" priority="353" operator="containsText" text="Pemrograman">
      <formula>NOT(ISERROR(SEARCH("Pemrograman",F15)))</formula>
    </cfRule>
    <cfRule type="containsText" dxfId="698" priority="354" operator="containsText" text="Struktur">
      <formula>NOT(ISERROR(SEARCH("Struktur",F15)))</formula>
    </cfRule>
    <cfRule type="containsText" dxfId="697" priority="355" operator="containsText" text="Dasar rekayasa">
      <formula>NOT(ISERROR(SEARCH("Dasar rekayasa",F15)))</formula>
    </cfRule>
    <cfRule type="containsText" dxfId="696" priority="356" operator="containsText" text="PBA">
      <formula>NOT(ISERROR(SEARCH("PBA",F15)))</formula>
    </cfRule>
    <cfRule type="containsText" dxfId="695" priority="357" operator="containsText" text="Keamanan">
      <formula>NOT(ISERROR(SEARCH("Keamanan",F15)))</formula>
    </cfRule>
    <cfRule type="containsText" dxfId="694" priority="358" operator="containsText" text="Otomata">
      <formula>NOT(ISERROR(SEARCH("Otomata",F15)))</formula>
    </cfRule>
    <cfRule type="containsText" dxfId="693" priority="359" operator="containsText" text="Sistem Pendukung">
      <formula>NOT(ISERROR(SEARCH("Sistem Pendukung",F15)))</formula>
    </cfRule>
    <cfRule type="containsText" dxfId="692" priority="360" operator="containsText" text="Matematika">
      <formula>NOT(ISERROR(SEARCH("Matematika",F15)))</formula>
    </cfRule>
  </conditionalFormatting>
  <conditionalFormatting sqref="F103">
    <cfRule type="containsText" dxfId="691" priority="256" operator="containsText" text="SIG">
      <formula>NOT(ISERROR(SEARCH("SIG",F103)))</formula>
    </cfRule>
    <cfRule type="containsText" dxfId="690" priority="257" operator="containsText" text="Analisis">
      <formula>NOT(ISERROR(SEARCH("Analisis",F103)))</formula>
    </cfRule>
    <cfRule type="containsText" dxfId="689" priority="258" operator="containsText" text="Sistem Paralel">
      <formula>NOT(ISERROR(SEARCH("Sistem Paralel",F103)))</formula>
    </cfRule>
    <cfRule type="containsText" dxfId="688" priority="259" operator="containsText" text="Probabilitas">
      <formula>NOT(ISERROR(SEARCH("Probabilitas",F103)))</formula>
    </cfRule>
    <cfRule type="containsText" dxfId="687" priority="260" operator="containsText" text="Organisasi">
      <formula>NOT(ISERROR(SEARCH("Organisasi",F103)))</formula>
    </cfRule>
    <cfRule type="containsText" dxfId="686" priority="261" operator="containsText" text="proyek">
      <formula>NOT(ISERROR(SEARCH("proyek",F103)))</formula>
    </cfRule>
    <cfRule type="containsText" dxfId="685" priority="262" operator="containsText" text="Manajemen">
      <formula>NOT(ISERROR(SEARCH("Manajemen",F103)))</formula>
    </cfRule>
    <cfRule type="containsText" dxfId="684" priority="263" operator="containsText" text="Pemrograman">
      <formula>NOT(ISERROR(SEARCH("Pemrograman",F103)))</formula>
    </cfRule>
    <cfRule type="containsText" dxfId="683" priority="264" operator="containsText" text="Struktur">
      <formula>NOT(ISERROR(SEARCH("Struktur",F103)))</formula>
    </cfRule>
    <cfRule type="containsText" dxfId="682" priority="265" operator="containsText" text="Dasar rekayasa">
      <formula>NOT(ISERROR(SEARCH("Dasar rekayasa",F103)))</formula>
    </cfRule>
    <cfRule type="containsText" dxfId="681" priority="266" operator="containsText" text="PBA">
      <formula>NOT(ISERROR(SEARCH("PBA",F103)))</formula>
    </cfRule>
    <cfRule type="containsText" dxfId="680" priority="267" operator="containsText" text="Keamanan">
      <formula>NOT(ISERROR(SEARCH("Keamanan",F103)))</formula>
    </cfRule>
    <cfRule type="containsText" dxfId="679" priority="268" operator="containsText" text="Otomata">
      <formula>NOT(ISERROR(SEARCH("Otomata",F103)))</formula>
    </cfRule>
    <cfRule type="containsText" dxfId="678" priority="269" operator="containsText" text="Sistem Pendukung">
      <formula>NOT(ISERROR(SEARCH("Sistem Pendukung",F103)))</formula>
    </cfRule>
    <cfRule type="containsText" dxfId="677" priority="270" operator="containsText" text="Matematika">
      <formula>NOT(ISERROR(SEARCH("Matematika",F103)))</formula>
    </cfRule>
  </conditionalFormatting>
  <conditionalFormatting sqref="F123 F125 F121">
    <cfRule type="containsText" dxfId="676" priority="241" operator="containsText" text="SIG">
      <formula>NOT(ISERROR(SEARCH("SIG",F121)))</formula>
    </cfRule>
    <cfRule type="containsText" dxfId="675" priority="242" operator="containsText" text="Analisis">
      <formula>NOT(ISERROR(SEARCH("Analisis",F121)))</formula>
    </cfRule>
    <cfRule type="containsText" dxfId="674" priority="243" operator="containsText" text="Sistem Paralel">
      <formula>NOT(ISERROR(SEARCH("Sistem Paralel",F121)))</formula>
    </cfRule>
    <cfRule type="containsText" dxfId="673" priority="244" operator="containsText" text="Probabilitas">
      <formula>NOT(ISERROR(SEARCH("Probabilitas",F121)))</formula>
    </cfRule>
    <cfRule type="containsText" dxfId="672" priority="245" operator="containsText" text="Organisasi">
      <formula>NOT(ISERROR(SEARCH("Organisasi",F121)))</formula>
    </cfRule>
    <cfRule type="containsText" dxfId="671" priority="246" operator="containsText" text="proyek">
      <formula>NOT(ISERROR(SEARCH("proyek",F121)))</formula>
    </cfRule>
    <cfRule type="containsText" dxfId="670" priority="247" operator="containsText" text="Manajemen">
      <formula>NOT(ISERROR(SEARCH("Manajemen",F121)))</formula>
    </cfRule>
    <cfRule type="containsText" dxfId="669" priority="248" operator="containsText" text="Pemrograman">
      <formula>NOT(ISERROR(SEARCH("Pemrograman",F121)))</formula>
    </cfRule>
    <cfRule type="containsText" dxfId="668" priority="249" operator="containsText" text="Struktur">
      <formula>NOT(ISERROR(SEARCH("Struktur",F121)))</formula>
    </cfRule>
    <cfRule type="containsText" dxfId="667" priority="250" operator="containsText" text="Dasar rekayasa">
      <formula>NOT(ISERROR(SEARCH("Dasar rekayasa",F121)))</formula>
    </cfRule>
    <cfRule type="containsText" dxfId="666" priority="251" operator="containsText" text="PBA">
      <formula>NOT(ISERROR(SEARCH("PBA",F121)))</formula>
    </cfRule>
    <cfRule type="containsText" dxfId="665" priority="252" operator="containsText" text="Keamanan">
      <formula>NOT(ISERROR(SEARCH("Keamanan",F121)))</formula>
    </cfRule>
    <cfRule type="containsText" dxfId="664" priority="253" operator="containsText" text="Otomata">
      <formula>NOT(ISERROR(SEARCH("Otomata",F121)))</formula>
    </cfRule>
    <cfRule type="containsText" dxfId="663" priority="254" operator="containsText" text="Sistem Pendukung">
      <formula>NOT(ISERROR(SEARCH("Sistem Pendukung",F121)))</formula>
    </cfRule>
    <cfRule type="containsText" dxfId="662" priority="255" operator="containsText" text="Matematika">
      <formula>NOT(ISERROR(SEARCH("Matematika",F121)))</formula>
    </cfRule>
  </conditionalFormatting>
  <conditionalFormatting sqref="F122">
    <cfRule type="containsText" dxfId="661" priority="226" operator="containsText" text="SIG">
      <formula>NOT(ISERROR(SEARCH("SIG",F122)))</formula>
    </cfRule>
    <cfRule type="containsText" dxfId="660" priority="227" operator="containsText" text="Analisis">
      <formula>NOT(ISERROR(SEARCH("Analisis",F122)))</formula>
    </cfRule>
    <cfRule type="containsText" dxfId="659" priority="228" operator="containsText" text="Sistem Paralel">
      <formula>NOT(ISERROR(SEARCH("Sistem Paralel",F122)))</formula>
    </cfRule>
    <cfRule type="containsText" dxfId="658" priority="229" operator="containsText" text="Probabilitas">
      <formula>NOT(ISERROR(SEARCH("Probabilitas",F122)))</formula>
    </cfRule>
    <cfRule type="containsText" dxfId="657" priority="230" operator="containsText" text="Organisasi">
      <formula>NOT(ISERROR(SEARCH("Organisasi",F122)))</formula>
    </cfRule>
    <cfRule type="containsText" dxfId="656" priority="231" operator="containsText" text="proyek">
      <formula>NOT(ISERROR(SEARCH("proyek",F122)))</formula>
    </cfRule>
    <cfRule type="containsText" dxfId="655" priority="232" operator="containsText" text="Manajemen">
      <formula>NOT(ISERROR(SEARCH("Manajemen",F122)))</formula>
    </cfRule>
    <cfRule type="containsText" dxfId="654" priority="233" operator="containsText" text="Pemrograman">
      <formula>NOT(ISERROR(SEARCH("Pemrograman",F122)))</formula>
    </cfRule>
    <cfRule type="containsText" dxfId="653" priority="234" operator="containsText" text="Struktur">
      <formula>NOT(ISERROR(SEARCH("Struktur",F122)))</formula>
    </cfRule>
    <cfRule type="containsText" dxfId="652" priority="235" operator="containsText" text="Dasar rekayasa">
      <formula>NOT(ISERROR(SEARCH("Dasar rekayasa",F122)))</formula>
    </cfRule>
    <cfRule type="containsText" dxfId="651" priority="236" operator="containsText" text="PBA">
      <formula>NOT(ISERROR(SEARCH("PBA",F122)))</formula>
    </cfRule>
    <cfRule type="containsText" dxfId="650" priority="237" operator="containsText" text="Keamanan">
      <formula>NOT(ISERROR(SEARCH("Keamanan",F122)))</formula>
    </cfRule>
    <cfRule type="containsText" dxfId="649" priority="238" operator="containsText" text="Otomata">
      <formula>NOT(ISERROR(SEARCH("Otomata",F122)))</formula>
    </cfRule>
    <cfRule type="containsText" dxfId="648" priority="239" operator="containsText" text="Sistem Pendukung">
      <formula>NOT(ISERROR(SEARCH("Sistem Pendukung",F122)))</formula>
    </cfRule>
    <cfRule type="containsText" dxfId="647" priority="240" operator="containsText" text="Matematika">
      <formula>NOT(ISERROR(SEARCH("Matematika",F122)))</formula>
    </cfRule>
  </conditionalFormatting>
  <conditionalFormatting sqref="F124">
    <cfRule type="containsText" dxfId="646" priority="211" operator="containsText" text="SIG">
      <formula>NOT(ISERROR(SEARCH("SIG",F124)))</formula>
    </cfRule>
    <cfRule type="containsText" dxfId="645" priority="212" operator="containsText" text="Analisis">
      <formula>NOT(ISERROR(SEARCH("Analisis",F124)))</formula>
    </cfRule>
    <cfRule type="containsText" dxfId="644" priority="213" operator="containsText" text="Sistem Paralel">
      <formula>NOT(ISERROR(SEARCH("Sistem Paralel",F124)))</formula>
    </cfRule>
    <cfRule type="containsText" dxfId="643" priority="214" operator="containsText" text="Probabilitas">
      <formula>NOT(ISERROR(SEARCH("Probabilitas",F124)))</formula>
    </cfRule>
    <cfRule type="containsText" dxfId="642" priority="215" operator="containsText" text="Organisasi">
      <formula>NOT(ISERROR(SEARCH("Organisasi",F124)))</formula>
    </cfRule>
    <cfRule type="containsText" dxfId="641" priority="216" operator="containsText" text="proyek">
      <formula>NOT(ISERROR(SEARCH("proyek",F124)))</formula>
    </cfRule>
    <cfRule type="containsText" dxfId="640" priority="217" operator="containsText" text="Manajemen">
      <formula>NOT(ISERROR(SEARCH("Manajemen",F124)))</formula>
    </cfRule>
    <cfRule type="containsText" dxfId="639" priority="218" operator="containsText" text="Pemrograman">
      <formula>NOT(ISERROR(SEARCH("Pemrograman",F124)))</formula>
    </cfRule>
    <cfRule type="containsText" dxfId="638" priority="219" operator="containsText" text="Struktur">
      <formula>NOT(ISERROR(SEARCH("Struktur",F124)))</formula>
    </cfRule>
    <cfRule type="containsText" dxfId="637" priority="220" operator="containsText" text="Dasar rekayasa">
      <formula>NOT(ISERROR(SEARCH("Dasar rekayasa",F124)))</formula>
    </cfRule>
    <cfRule type="containsText" dxfId="636" priority="221" operator="containsText" text="PBA">
      <formula>NOT(ISERROR(SEARCH("PBA",F124)))</formula>
    </cfRule>
    <cfRule type="containsText" dxfId="635" priority="222" operator="containsText" text="Keamanan">
      <formula>NOT(ISERROR(SEARCH("Keamanan",F124)))</formula>
    </cfRule>
    <cfRule type="containsText" dxfId="634" priority="223" operator="containsText" text="Otomata">
      <formula>NOT(ISERROR(SEARCH("Otomata",F124)))</formula>
    </cfRule>
    <cfRule type="containsText" dxfId="633" priority="224" operator="containsText" text="Sistem Pendukung">
      <formula>NOT(ISERROR(SEARCH("Sistem Pendukung",F124)))</formula>
    </cfRule>
    <cfRule type="containsText" dxfId="632" priority="225" operator="containsText" text="Matematika">
      <formula>NOT(ISERROR(SEARCH("Matematika",F124)))</formula>
    </cfRule>
  </conditionalFormatting>
  <conditionalFormatting sqref="F126">
    <cfRule type="containsText" dxfId="631" priority="196" operator="containsText" text="SIG">
      <formula>NOT(ISERROR(SEARCH("SIG",F126)))</formula>
    </cfRule>
    <cfRule type="containsText" dxfId="630" priority="197" operator="containsText" text="Analisis">
      <formula>NOT(ISERROR(SEARCH("Analisis",F126)))</formula>
    </cfRule>
    <cfRule type="containsText" dxfId="629" priority="198" operator="containsText" text="Sistem Paralel">
      <formula>NOT(ISERROR(SEARCH("Sistem Paralel",F126)))</formula>
    </cfRule>
    <cfRule type="containsText" dxfId="628" priority="199" operator="containsText" text="Probabilitas">
      <formula>NOT(ISERROR(SEARCH("Probabilitas",F126)))</formula>
    </cfRule>
    <cfRule type="containsText" dxfId="627" priority="200" operator="containsText" text="Organisasi">
      <formula>NOT(ISERROR(SEARCH("Organisasi",F126)))</formula>
    </cfRule>
    <cfRule type="containsText" dxfId="626" priority="201" operator="containsText" text="proyek">
      <formula>NOT(ISERROR(SEARCH("proyek",F126)))</formula>
    </cfRule>
    <cfRule type="containsText" dxfId="625" priority="202" operator="containsText" text="Manajemen">
      <formula>NOT(ISERROR(SEARCH("Manajemen",F126)))</formula>
    </cfRule>
    <cfRule type="containsText" dxfId="624" priority="203" operator="containsText" text="Pemrograman">
      <formula>NOT(ISERROR(SEARCH("Pemrograman",F126)))</formula>
    </cfRule>
    <cfRule type="containsText" dxfId="623" priority="204" operator="containsText" text="Struktur">
      <formula>NOT(ISERROR(SEARCH("Struktur",F126)))</formula>
    </cfRule>
    <cfRule type="containsText" dxfId="622" priority="205" operator="containsText" text="Dasar rekayasa">
      <formula>NOT(ISERROR(SEARCH("Dasar rekayasa",F126)))</formula>
    </cfRule>
    <cfRule type="containsText" dxfId="621" priority="206" operator="containsText" text="PBA">
      <formula>NOT(ISERROR(SEARCH("PBA",F126)))</formula>
    </cfRule>
    <cfRule type="containsText" dxfId="620" priority="207" operator="containsText" text="Keamanan">
      <formula>NOT(ISERROR(SEARCH("Keamanan",F126)))</formula>
    </cfRule>
    <cfRule type="containsText" dxfId="619" priority="208" operator="containsText" text="Otomata">
      <formula>NOT(ISERROR(SEARCH("Otomata",F126)))</formula>
    </cfRule>
    <cfRule type="containsText" dxfId="618" priority="209" operator="containsText" text="Sistem Pendukung">
      <formula>NOT(ISERROR(SEARCH("Sistem Pendukung",F126)))</formula>
    </cfRule>
    <cfRule type="containsText" dxfId="617" priority="210" operator="containsText" text="Matematika">
      <formula>NOT(ISERROR(SEARCH("Matematika",F126)))</formula>
    </cfRule>
  </conditionalFormatting>
  <conditionalFormatting sqref="F107">
    <cfRule type="containsText" dxfId="616" priority="166" operator="containsText" text="SIG">
      <formula>NOT(ISERROR(SEARCH("SIG",F107)))</formula>
    </cfRule>
    <cfRule type="containsText" dxfId="615" priority="167" operator="containsText" text="Analisis">
      <formula>NOT(ISERROR(SEARCH("Analisis",F107)))</formula>
    </cfRule>
    <cfRule type="containsText" dxfId="614" priority="168" operator="containsText" text="Sistem Paralel">
      <formula>NOT(ISERROR(SEARCH("Sistem Paralel",F107)))</formula>
    </cfRule>
    <cfRule type="containsText" dxfId="613" priority="169" operator="containsText" text="Probabilitas">
      <formula>NOT(ISERROR(SEARCH("Probabilitas",F107)))</formula>
    </cfRule>
    <cfRule type="containsText" dxfId="612" priority="170" operator="containsText" text="Organisasi">
      <formula>NOT(ISERROR(SEARCH("Organisasi",F107)))</formula>
    </cfRule>
    <cfRule type="containsText" dxfId="611" priority="171" operator="containsText" text="proyek">
      <formula>NOT(ISERROR(SEARCH("proyek",F107)))</formula>
    </cfRule>
    <cfRule type="containsText" dxfId="610" priority="172" operator="containsText" text="Manajemen">
      <formula>NOT(ISERROR(SEARCH("Manajemen",F107)))</formula>
    </cfRule>
    <cfRule type="containsText" dxfId="609" priority="173" operator="containsText" text="Pemrograman">
      <formula>NOT(ISERROR(SEARCH("Pemrograman",F107)))</formula>
    </cfRule>
    <cfRule type="containsText" dxfId="608" priority="174" operator="containsText" text="Struktur">
      <formula>NOT(ISERROR(SEARCH("Struktur",F107)))</formula>
    </cfRule>
    <cfRule type="containsText" dxfId="607" priority="175" operator="containsText" text="Dasar rekayasa">
      <formula>NOT(ISERROR(SEARCH("Dasar rekayasa",F107)))</formula>
    </cfRule>
    <cfRule type="containsText" dxfId="606" priority="176" operator="containsText" text="PBA">
      <formula>NOT(ISERROR(SEARCH("PBA",F107)))</formula>
    </cfRule>
    <cfRule type="containsText" dxfId="605" priority="177" operator="containsText" text="Keamanan">
      <formula>NOT(ISERROR(SEARCH("Keamanan",F107)))</formula>
    </cfRule>
    <cfRule type="containsText" dxfId="604" priority="178" operator="containsText" text="Otomata">
      <formula>NOT(ISERROR(SEARCH("Otomata",F107)))</formula>
    </cfRule>
    <cfRule type="containsText" dxfId="603" priority="179" operator="containsText" text="Sistem Pendukung">
      <formula>NOT(ISERROR(SEARCH("Sistem Pendukung",F107)))</formula>
    </cfRule>
    <cfRule type="containsText" dxfId="602" priority="180" operator="containsText" text="Matematika">
      <formula>NOT(ISERROR(SEARCH("Matematika",F107)))</formula>
    </cfRule>
  </conditionalFormatting>
  <conditionalFormatting sqref="F97:F102">
    <cfRule type="containsText" dxfId="601" priority="151" operator="containsText" text="SIG">
      <formula>NOT(ISERROR(SEARCH("SIG",F97)))</formula>
    </cfRule>
    <cfRule type="containsText" dxfId="600" priority="152" operator="containsText" text="Analisis">
      <formula>NOT(ISERROR(SEARCH("Analisis",F97)))</formula>
    </cfRule>
    <cfRule type="containsText" dxfId="599" priority="153" operator="containsText" text="Sistem Paralel">
      <formula>NOT(ISERROR(SEARCH("Sistem Paralel",F97)))</formula>
    </cfRule>
    <cfRule type="containsText" dxfId="598" priority="154" operator="containsText" text="Probabilitas">
      <formula>NOT(ISERROR(SEARCH("Probabilitas",F97)))</formula>
    </cfRule>
    <cfRule type="containsText" dxfId="597" priority="155" operator="containsText" text="Organisasi">
      <formula>NOT(ISERROR(SEARCH("Organisasi",F97)))</formula>
    </cfRule>
    <cfRule type="containsText" dxfId="596" priority="156" operator="containsText" text="proyek">
      <formula>NOT(ISERROR(SEARCH("proyek",F97)))</formula>
    </cfRule>
    <cfRule type="containsText" dxfId="595" priority="157" operator="containsText" text="Manajemen">
      <formula>NOT(ISERROR(SEARCH("Manajemen",F97)))</formula>
    </cfRule>
    <cfRule type="containsText" dxfId="594" priority="158" operator="containsText" text="Pemrograman">
      <formula>NOT(ISERROR(SEARCH("Pemrograman",F97)))</formula>
    </cfRule>
    <cfRule type="containsText" dxfId="593" priority="159" operator="containsText" text="Struktur">
      <formula>NOT(ISERROR(SEARCH("Struktur",F97)))</formula>
    </cfRule>
    <cfRule type="containsText" dxfId="592" priority="160" operator="containsText" text="Dasar rekayasa">
      <formula>NOT(ISERROR(SEARCH("Dasar rekayasa",F97)))</formula>
    </cfRule>
    <cfRule type="containsText" dxfId="591" priority="161" operator="containsText" text="PBA">
      <formula>NOT(ISERROR(SEARCH("PBA",F97)))</formula>
    </cfRule>
    <cfRule type="containsText" dxfId="590" priority="162" operator="containsText" text="Keamanan">
      <formula>NOT(ISERROR(SEARCH("Keamanan",F97)))</formula>
    </cfRule>
    <cfRule type="containsText" dxfId="589" priority="163" operator="containsText" text="Otomata">
      <formula>NOT(ISERROR(SEARCH("Otomata",F97)))</formula>
    </cfRule>
    <cfRule type="containsText" dxfId="588" priority="164" operator="containsText" text="Sistem Pendukung">
      <formula>NOT(ISERROR(SEARCH("Sistem Pendukung",F97)))</formula>
    </cfRule>
    <cfRule type="containsText" dxfId="587" priority="165" operator="containsText" text="Matematika">
      <formula>NOT(ISERROR(SEARCH("Matematika",F97)))</formula>
    </cfRule>
  </conditionalFormatting>
  <conditionalFormatting sqref="F67">
    <cfRule type="containsText" dxfId="586" priority="136" operator="containsText" text="SIG">
      <formula>NOT(ISERROR(SEARCH("SIG",F67)))</formula>
    </cfRule>
    <cfRule type="containsText" dxfId="585" priority="137" operator="containsText" text="Analisis">
      <formula>NOT(ISERROR(SEARCH("Analisis",F67)))</formula>
    </cfRule>
    <cfRule type="containsText" dxfId="584" priority="138" operator="containsText" text="Sistem Paralel">
      <formula>NOT(ISERROR(SEARCH("Sistem Paralel",F67)))</formula>
    </cfRule>
    <cfRule type="containsText" dxfId="583" priority="139" operator="containsText" text="Probabilitas">
      <formula>NOT(ISERROR(SEARCH("Probabilitas",F67)))</formula>
    </cfRule>
    <cfRule type="containsText" dxfId="582" priority="140" operator="containsText" text="Organisasi">
      <formula>NOT(ISERROR(SEARCH("Organisasi",F67)))</formula>
    </cfRule>
    <cfRule type="containsText" dxfId="581" priority="141" operator="containsText" text="proyek">
      <formula>NOT(ISERROR(SEARCH("proyek",F67)))</formula>
    </cfRule>
    <cfRule type="containsText" dxfId="580" priority="142" operator="containsText" text="Manajemen">
      <formula>NOT(ISERROR(SEARCH("Manajemen",F67)))</formula>
    </cfRule>
    <cfRule type="containsText" dxfId="579" priority="143" operator="containsText" text="Pemrograman">
      <formula>NOT(ISERROR(SEARCH("Pemrograman",F67)))</formula>
    </cfRule>
    <cfRule type="containsText" dxfId="578" priority="144" operator="containsText" text="Struktur">
      <formula>NOT(ISERROR(SEARCH("Struktur",F67)))</formula>
    </cfRule>
    <cfRule type="containsText" dxfId="577" priority="145" operator="containsText" text="Dasar rekayasa">
      <formula>NOT(ISERROR(SEARCH("Dasar rekayasa",F67)))</formula>
    </cfRule>
    <cfRule type="containsText" dxfId="576" priority="146" operator="containsText" text="PBA">
      <formula>NOT(ISERROR(SEARCH("PBA",F67)))</formula>
    </cfRule>
    <cfRule type="containsText" dxfId="575" priority="147" operator="containsText" text="Keamanan">
      <formula>NOT(ISERROR(SEARCH("Keamanan",F67)))</formula>
    </cfRule>
    <cfRule type="containsText" dxfId="574" priority="148" operator="containsText" text="Otomata">
      <formula>NOT(ISERROR(SEARCH("Otomata",F67)))</formula>
    </cfRule>
    <cfRule type="containsText" dxfId="573" priority="149" operator="containsText" text="Sistem Pendukung">
      <formula>NOT(ISERROR(SEARCH("Sistem Pendukung",F67)))</formula>
    </cfRule>
    <cfRule type="containsText" dxfId="572" priority="150" operator="containsText" text="Matematika">
      <formula>NOT(ISERROR(SEARCH("Matematika",F67)))</formula>
    </cfRule>
  </conditionalFormatting>
  <conditionalFormatting sqref="F68">
    <cfRule type="containsText" dxfId="571" priority="121" operator="containsText" text="SIG">
      <formula>NOT(ISERROR(SEARCH("SIG",F68)))</formula>
    </cfRule>
    <cfRule type="containsText" dxfId="570" priority="122" operator="containsText" text="Analisis">
      <formula>NOT(ISERROR(SEARCH("Analisis",F68)))</formula>
    </cfRule>
    <cfRule type="containsText" dxfId="569" priority="123" operator="containsText" text="Sistem Paralel">
      <formula>NOT(ISERROR(SEARCH("Sistem Paralel",F68)))</formula>
    </cfRule>
    <cfRule type="containsText" dxfId="568" priority="124" operator="containsText" text="Probabilitas">
      <formula>NOT(ISERROR(SEARCH("Probabilitas",F68)))</formula>
    </cfRule>
    <cfRule type="containsText" dxfId="567" priority="125" operator="containsText" text="Organisasi">
      <formula>NOT(ISERROR(SEARCH("Organisasi",F68)))</formula>
    </cfRule>
    <cfRule type="containsText" dxfId="566" priority="126" operator="containsText" text="proyek">
      <formula>NOT(ISERROR(SEARCH("proyek",F68)))</formula>
    </cfRule>
    <cfRule type="containsText" dxfId="565" priority="127" operator="containsText" text="Manajemen">
      <formula>NOT(ISERROR(SEARCH("Manajemen",F68)))</formula>
    </cfRule>
    <cfRule type="containsText" dxfId="564" priority="128" operator="containsText" text="Pemrograman">
      <formula>NOT(ISERROR(SEARCH("Pemrograman",F68)))</formula>
    </cfRule>
    <cfRule type="containsText" dxfId="563" priority="129" operator="containsText" text="Struktur">
      <formula>NOT(ISERROR(SEARCH("Struktur",F68)))</formula>
    </cfRule>
    <cfRule type="containsText" dxfId="562" priority="130" operator="containsText" text="Dasar rekayasa">
      <formula>NOT(ISERROR(SEARCH("Dasar rekayasa",F68)))</formula>
    </cfRule>
    <cfRule type="containsText" dxfId="561" priority="131" operator="containsText" text="PBA">
      <formula>NOT(ISERROR(SEARCH("PBA",F68)))</formula>
    </cfRule>
    <cfRule type="containsText" dxfId="560" priority="132" operator="containsText" text="Keamanan">
      <formula>NOT(ISERROR(SEARCH("Keamanan",F68)))</formula>
    </cfRule>
    <cfRule type="containsText" dxfId="559" priority="133" operator="containsText" text="Otomata">
      <formula>NOT(ISERROR(SEARCH("Otomata",F68)))</formula>
    </cfRule>
    <cfRule type="containsText" dxfId="558" priority="134" operator="containsText" text="Sistem Pendukung">
      <formula>NOT(ISERROR(SEARCH("Sistem Pendukung",F68)))</formula>
    </cfRule>
    <cfRule type="containsText" dxfId="557" priority="135" operator="containsText" text="Matematika">
      <formula>NOT(ISERROR(SEARCH("Matematika",F68)))</formula>
    </cfRule>
  </conditionalFormatting>
  <conditionalFormatting sqref="F69:F70">
    <cfRule type="containsText" dxfId="556" priority="106" operator="containsText" text="SIG">
      <formula>NOT(ISERROR(SEARCH("SIG",F69)))</formula>
    </cfRule>
    <cfRule type="containsText" dxfId="555" priority="107" operator="containsText" text="Analisis">
      <formula>NOT(ISERROR(SEARCH("Analisis",F69)))</formula>
    </cfRule>
    <cfRule type="containsText" dxfId="554" priority="108" operator="containsText" text="Sistem Paralel">
      <formula>NOT(ISERROR(SEARCH("Sistem Paralel",F69)))</formula>
    </cfRule>
    <cfRule type="containsText" dxfId="553" priority="109" operator="containsText" text="Probabilitas">
      <formula>NOT(ISERROR(SEARCH("Probabilitas",F69)))</formula>
    </cfRule>
    <cfRule type="containsText" dxfId="552" priority="110" operator="containsText" text="Organisasi">
      <formula>NOT(ISERROR(SEARCH("Organisasi",F69)))</formula>
    </cfRule>
    <cfRule type="containsText" dxfId="551" priority="111" operator="containsText" text="proyek">
      <formula>NOT(ISERROR(SEARCH("proyek",F69)))</formula>
    </cfRule>
    <cfRule type="containsText" dxfId="550" priority="112" operator="containsText" text="Manajemen">
      <formula>NOT(ISERROR(SEARCH("Manajemen",F69)))</formula>
    </cfRule>
    <cfRule type="containsText" dxfId="549" priority="113" operator="containsText" text="Pemrograman">
      <formula>NOT(ISERROR(SEARCH("Pemrograman",F69)))</formula>
    </cfRule>
    <cfRule type="containsText" dxfId="548" priority="114" operator="containsText" text="Struktur">
      <formula>NOT(ISERROR(SEARCH("Struktur",F69)))</formula>
    </cfRule>
    <cfRule type="containsText" dxfId="547" priority="115" operator="containsText" text="Dasar rekayasa">
      <formula>NOT(ISERROR(SEARCH("Dasar rekayasa",F69)))</formula>
    </cfRule>
    <cfRule type="containsText" dxfId="546" priority="116" operator="containsText" text="PBA">
      <formula>NOT(ISERROR(SEARCH("PBA",F69)))</formula>
    </cfRule>
    <cfRule type="containsText" dxfId="545" priority="117" operator="containsText" text="Keamanan">
      <formula>NOT(ISERROR(SEARCH("Keamanan",F69)))</formula>
    </cfRule>
    <cfRule type="containsText" dxfId="544" priority="118" operator="containsText" text="Otomata">
      <formula>NOT(ISERROR(SEARCH("Otomata",F69)))</formula>
    </cfRule>
    <cfRule type="containsText" dxfId="543" priority="119" operator="containsText" text="Sistem Pendukung">
      <formula>NOT(ISERROR(SEARCH("Sistem Pendukung",F69)))</formula>
    </cfRule>
    <cfRule type="containsText" dxfId="542" priority="120" operator="containsText" text="Matematika">
      <formula>NOT(ISERROR(SEARCH("Matematika",F69)))</formula>
    </cfRule>
  </conditionalFormatting>
  <conditionalFormatting sqref="K53:L56">
    <cfRule type="duplicateValues" dxfId="541" priority="3371"/>
  </conditionalFormatting>
  <conditionalFormatting sqref="K15:L17">
    <cfRule type="duplicateValues" dxfId="540" priority="3428"/>
  </conditionalFormatting>
  <conditionalFormatting sqref="F89:F90 F92:F94">
    <cfRule type="containsText" dxfId="539" priority="46" operator="containsText" text="SIG">
      <formula>NOT(ISERROR(SEARCH("SIG",F89)))</formula>
    </cfRule>
    <cfRule type="containsText" dxfId="538" priority="47" operator="containsText" text="Analisis">
      <formula>NOT(ISERROR(SEARCH("Analisis",F89)))</formula>
    </cfRule>
    <cfRule type="containsText" dxfId="537" priority="48" operator="containsText" text="Sistem Paralel">
      <formula>NOT(ISERROR(SEARCH("Sistem Paralel",F89)))</formula>
    </cfRule>
    <cfRule type="containsText" dxfId="536" priority="49" operator="containsText" text="Probabilitas">
      <formula>NOT(ISERROR(SEARCH("Probabilitas",F89)))</formula>
    </cfRule>
    <cfRule type="containsText" dxfId="535" priority="50" operator="containsText" text="Organisasi">
      <formula>NOT(ISERROR(SEARCH("Organisasi",F89)))</formula>
    </cfRule>
    <cfRule type="containsText" dxfId="534" priority="51" operator="containsText" text="proyek">
      <formula>NOT(ISERROR(SEARCH("proyek",F89)))</formula>
    </cfRule>
    <cfRule type="containsText" dxfId="533" priority="52" operator="containsText" text="Manajemen">
      <formula>NOT(ISERROR(SEARCH("Manajemen",F89)))</formula>
    </cfRule>
    <cfRule type="containsText" dxfId="532" priority="53" operator="containsText" text="Pemrograman">
      <formula>NOT(ISERROR(SEARCH("Pemrograman",F89)))</formula>
    </cfRule>
    <cfRule type="containsText" dxfId="531" priority="54" operator="containsText" text="Struktur">
      <formula>NOT(ISERROR(SEARCH("Struktur",F89)))</formula>
    </cfRule>
    <cfRule type="containsText" dxfId="530" priority="55" operator="containsText" text="Dasar rekayasa">
      <formula>NOT(ISERROR(SEARCH("Dasar rekayasa",F89)))</formula>
    </cfRule>
    <cfRule type="containsText" dxfId="529" priority="56" operator="containsText" text="PBA">
      <formula>NOT(ISERROR(SEARCH("PBA",F89)))</formula>
    </cfRule>
    <cfRule type="containsText" dxfId="528" priority="57" operator="containsText" text="Keamanan">
      <formula>NOT(ISERROR(SEARCH("Keamanan",F89)))</formula>
    </cfRule>
    <cfRule type="containsText" dxfId="527" priority="58" operator="containsText" text="Otomata">
      <formula>NOT(ISERROR(SEARCH("Otomata",F89)))</formula>
    </cfRule>
    <cfRule type="containsText" dxfId="526" priority="59" operator="containsText" text="Sistem Pendukung">
      <formula>NOT(ISERROR(SEARCH("Sistem Pendukung",F89)))</formula>
    </cfRule>
    <cfRule type="containsText" dxfId="525" priority="60" operator="containsText" text="Matematika">
      <formula>NOT(ISERROR(SEARCH("Matematika",F89)))</formula>
    </cfRule>
  </conditionalFormatting>
  <conditionalFormatting sqref="F91">
    <cfRule type="containsText" dxfId="524" priority="31" operator="containsText" text="SIG">
      <formula>NOT(ISERROR(SEARCH("SIG",F91)))</formula>
    </cfRule>
    <cfRule type="containsText" dxfId="523" priority="32" operator="containsText" text="Analisis">
      <formula>NOT(ISERROR(SEARCH("Analisis",F91)))</formula>
    </cfRule>
    <cfRule type="containsText" dxfId="522" priority="33" operator="containsText" text="Sistem Paralel">
      <formula>NOT(ISERROR(SEARCH("Sistem Paralel",F91)))</formula>
    </cfRule>
    <cfRule type="containsText" dxfId="521" priority="34" operator="containsText" text="Probabilitas">
      <formula>NOT(ISERROR(SEARCH("Probabilitas",F91)))</formula>
    </cfRule>
    <cfRule type="containsText" dxfId="520" priority="35" operator="containsText" text="Organisasi">
      <formula>NOT(ISERROR(SEARCH("Organisasi",F91)))</formula>
    </cfRule>
    <cfRule type="containsText" dxfId="519" priority="36" operator="containsText" text="proyek">
      <formula>NOT(ISERROR(SEARCH("proyek",F91)))</formula>
    </cfRule>
    <cfRule type="containsText" dxfId="518" priority="37" operator="containsText" text="Manajemen">
      <formula>NOT(ISERROR(SEARCH("Manajemen",F91)))</formula>
    </cfRule>
    <cfRule type="containsText" dxfId="517" priority="38" operator="containsText" text="Pemrograman">
      <formula>NOT(ISERROR(SEARCH("Pemrograman",F91)))</formula>
    </cfRule>
    <cfRule type="containsText" dxfId="516" priority="39" operator="containsText" text="Struktur">
      <formula>NOT(ISERROR(SEARCH("Struktur",F91)))</formula>
    </cfRule>
    <cfRule type="containsText" dxfId="515" priority="40" operator="containsText" text="Dasar rekayasa">
      <formula>NOT(ISERROR(SEARCH("Dasar rekayasa",F91)))</formula>
    </cfRule>
    <cfRule type="containsText" dxfId="514" priority="41" operator="containsText" text="PBA">
      <formula>NOT(ISERROR(SEARCH("PBA",F91)))</formula>
    </cfRule>
    <cfRule type="containsText" dxfId="513" priority="42" operator="containsText" text="Keamanan">
      <formula>NOT(ISERROR(SEARCH("Keamanan",F91)))</formula>
    </cfRule>
    <cfRule type="containsText" dxfId="512" priority="43" operator="containsText" text="Otomata">
      <formula>NOT(ISERROR(SEARCH("Otomata",F91)))</formula>
    </cfRule>
    <cfRule type="containsText" dxfId="511" priority="44" operator="containsText" text="Sistem Pendukung">
      <formula>NOT(ISERROR(SEARCH("Sistem Pendukung",F91)))</formula>
    </cfRule>
    <cfRule type="containsText" dxfId="510" priority="45" operator="containsText" text="Matematika">
      <formula>NOT(ISERROR(SEARCH("Matematika",F91)))</formula>
    </cfRule>
  </conditionalFormatting>
  <conditionalFormatting sqref="F95">
    <cfRule type="containsText" dxfId="509" priority="16" operator="containsText" text="SIG">
      <formula>NOT(ISERROR(SEARCH("SIG",F95)))</formula>
    </cfRule>
    <cfRule type="containsText" dxfId="508" priority="17" operator="containsText" text="Analisis">
      <formula>NOT(ISERROR(SEARCH("Analisis",F95)))</formula>
    </cfRule>
    <cfRule type="containsText" dxfId="507" priority="18" operator="containsText" text="Sistem Paralel">
      <formula>NOT(ISERROR(SEARCH("Sistem Paralel",F95)))</formula>
    </cfRule>
    <cfRule type="containsText" dxfId="506" priority="19" operator="containsText" text="Probabilitas">
      <formula>NOT(ISERROR(SEARCH("Probabilitas",F95)))</formula>
    </cfRule>
    <cfRule type="containsText" dxfId="505" priority="20" operator="containsText" text="Organisasi">
      <formula>NOT(ISERROR(SEARCH("Organisasi",F95)))</formula>
    </cfRule>
    <cfRule type="containsText" dxfId="504" priority="21" operator="containsText" text="proyek">
      <formula>NOT(ISERROR(SEARCH("proyek",F95)))</formula>
    </cfRule>
    <cfRule type="containsText" dxfId="503" priority="22" operator="containsText" text="Manajemen">
      <formula>NOT(ISERROR(SEARCH("Manajemen",F95)))</formula>
    </cfRule>
    <cfRule type="containsText" dxfId="502" priority="23" operator="containsText" text="Pemrograman">
      <formula>NOT(ISERROR(SEARCH("Pemrograman",F95)))</formula>
    </cfRule>
    <cfRule type="containsText" dxfId="501" priority="24" operator="containsText" text="Struktur">
      <formula>NOT(ISERROR(SEARCH("Struktur",F95)))</formula>
    </cfRule>
    <cfRule type="containsText" dxfId="500" priority="25" operator="containsText" text="Dasar rekayasa">
      <formula>NOT(ISERROR(SEARCH("Dasar rekayasa",F95)))</formula>
    </cfRule>
    <cfRule type="containsText" dxfId="499" priority="26" operator="containsText" text="PBA">
      <formula>NOT(ISERROR(SEARCH("PBA",F95)))</formula>
    </cfRule>
    <cfRule type="containsText" dxfId="498" priority="27" operator="containsText" text="Keamanan">
      <formula>NOT(ISERROR(SEARCH("Keamanan",F95)))</formula>
    </cfRule>
    <cfRule type="containsText" dxfId="497" priority="28" operator="containsText" text="Otomata">
      <formula>NOT(ISERROR(SEARCH("Otomata",F95)))</formula>
    </cfRule>
    <cfRule type="containsText" dxfId="496" priority="29" operator="containsText" text="Sistem Pendukung">
      <formula>NOT(ISERROR(SEARCH("Sistem Pendukung",F95)))</formula>
    </cfRule>
    <cfRule type="containsText" dxfId="495" priority="30" operator="containsText" text="Matematika">
      <formula>NOT(ISERROR(SEARCH("Matematika",F95)))</formula>
    </cfRule>
  </conditionalFormatting>
  <conditionalFormatting sqref="F43">
    <cfRule type="containsText" dxfId="14" priority="1" operator="containsText" text="SIG">
      <formula>NOT(ISERROR(SEARCH("SIG",F43)))</formula>
    </cfRule>
    <cfRule type="containsText" dxfId="13" priority="2" operator="containsText" text="Analisis">
      <formula>NOT(ISERROR(SEARCH("Analisis",F43)))</formula>
    </cfRule>
    <cfRule type="containsText" dxfId="12" priority="3" operator="containsText" text="Sistem Paralel">
      <formula>NOT(ISERROR(SEARCH("Sistem Paralel",F43)))</formula>
    </cfRule>
    <cfRule type="containsText" dxfId="11" priority="4" operator="containsText" text="Probabilitas">
      <formula>NOT(ISERROR(SEARCH("Probabilitas",F43)))</formula>
    </cfRule>
    <cfRule type="containsText" dxfId="10" priority="5" operator="containsText" text="Organisasi">
      <formula>NOT(ISERROR(SEARCH("Organisasi",F43)))</formula>
    </cfRule>
    <cfRule type="containsText" dxfId="9" priority="6" operator="containsText" text="proyek">
      <formula>NOT(ISERROR(SEARCH("proyek",F43)))</formula>
    </cfRule>
    <cfRule type="containsText" dxfId="8" priority="7" operator="containsText" text="Manajemen">
      <formula>NOT(ISERROR(SEARCH("Manajemen",F43)))</formula>
    </cfRule>
    <cfRule type="containsText" dxfId="7" priority="8" operator="containsText" text="Pemrograman">
      <formula>NOT(ISERROR(SEARCH("Pemrograman",F43)))</formula>
    </cfRule>
    <cfRule type="containsText" dxfId="6" priority="9" operator="containsText" text="Struktur">
      <formula>NOT(ISERROR(SEARCH("Struktur",F43)))</formula>
    </cfRule>
    <cfRule type="containsText" dxfId="5" priority="10" operator="containsText" text="Dasar rekayasa">
      <formula>NOT(ISERROR(SEARCH("Dasar rekayasa",F43)))</formula>
    </cfRule>
    <cfRule type="containsText" dxfId="4" priority="11" operator="containsText" text="PBA">
      <formula>NOT(ISERROR(SEARCH("PBA",F43)))</formula>
    </cfRule>
    <cfRule type="containsText" dxfId="3" priority="12" operator="containsText" text="Keamanan">
      <formula>NOT(ISERROR(SEARCH("Keamanan",F43)))</formula>
    </cfRule>
    <cfRule type="containsText" dxfId="2" priority="13" operator="containsText" text="Otomata">
      <formula>NOT(ISERROR(SEARCH("Otomata",F43)))</formula>
    </cfRule>
    <cfRule type="containsText" dxfId="1" priority="14" operator="containsText" text="Sistem Pendukung">
      <formula>NOT(ISERROR(SEARCH("Sistem Pendukung",F43)))</formula>
    </cfRule>
    <cfRule type="containsText" dxfId="0" priority="15" operator="containsText" text="Matematika">
      <formula>NOT(ISERROR(SEARCH("Matematika",F43)))</formula>
    </cfRule>
  </conditionalFormatting>
  <pageMargins left="0.25" right="0.7" top="0.25" bottom="0.75" header="0.3" footer="0.3"/>
  <pageSetup paperSize="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E4E30F-077B-4746-B1B7-184AF9815A80}">
          <x14:formula1>
            <xm:f>'SELECT KELAS GENAP'!$V$8:$V$144</xm:f>
          </x14:formula1>
          <xm:sqref>F7:F127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BF8B-82A6-48D8-A303-E0E8DEAA19CB}">
  <sheetPr>
    <tabColor rgb="FF92D050"/>
    <pageSetUpPr fitToPage="1"/>
  </sheetPr>
  <dimension ref="A2:L128"/>
  <sheetViews>
    <sheetView tabSelected="1" topLeftCell="A22" zoomScale="55" zoomScaleNormal="55" workbookViewId="0">
      <selection activeCell="K32" sqref="K32"/>
    </sheetView>
  </sheetViews>
  <sheetFormatPr defaultRowHeight="14.4" x14ac:dyDescent="0.3"/>
  <cols>
    <col min="1" max="1" width="10.21875" style="252" customWidth="1"/>
    <col min="2" max="2" width="6.77734375" style="1" bestFit="1" customWidth="1"/>
    <col min="3" max="3" width="6.21875" style="1" customWidth="1"/>
    <col min="4" max="4" width="6.77734375" style="1" bestFit="1" customWidth="1"/>
    <col min="5" max="5" width="23.77734375" style="128" bestFit="1" customWidth="1"/>
    <col min="6" max="6" width="43.109375" style="127" bestFit="1" customWidth="1"/>
    <col min="7" max="7" width="10.6640625" style="1" bestFit="1" customWidth="1"/>
    <col min="8" max="8" width="13" style="1" customWidth="1"/>
    <col min="9" max="10" width="8" style="1" bestFit="1" customWidth="1"/>
    <col min="11" max="11" width="42.77734375" style="1" bestFit="1" customWidth="1"/>
    <col min="12" max="12" width="11" style="1" bestFit="1" customWidth="1"/>
    <col min="13" max="13" width="14.109375" style="1" customWidth="1"/>
    <col min="14" max="16384" width="8.88671875" style="1"/>
  </cols>
  <sheetData>
    <row r="2" spans="1:12" ht="31.8" x14ac:dyDescent="0.5">
      <c r="A2" s="264" t="str">
        <f>("JADWAL KULIAH SEMESTER GENAP TA "&amp; 'SELECT KELAS GASAL'!$I$3)</f>
        <v>JADWAL KULIAH SEMESTER GENAP TA 2022 - 2023</v>
      </c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</row>
    <row r="3" spans="1:12" ht="31.8" x14ac:dyDescent="0.5">
      <c r="A3" s="264" t="s">
        <v>419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</row>
    <row r="4" spans="1:12" ht="31.8" x14ac:dyDescent="0.5">
      <c r="A4" s="264" t="s">
        <v>601</v>
      </c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</row>
    <row r="5" spans="1:12" ht="31.8" x14ac:dyDescent="0.5">
      <c r="A5" s="264" t="s">
        <v>602</v>
      </c>
      <c r="B5" s="264"/>
      <c r="C5" s="264"/>
      <c r="D5" s="264"/>
      <c r="E5" s="264"/>
      <c r="F5" s="264"/>
      <c r="G5" s="264"/>
      <c r="H5" s="264"/>
      <c r="I5" s="264"/>
      <c r="J5" s="264"/>
      <c r="K5" s="264"/>
      <c r="L5" s="264"/>
    </row>
    <row r="6" spans="1:12" ht="24" customHeight="1" x14ac:dyDescent="0.3"/>
    <row r="7" spans="1:12" s="126" customFormat="1" ht="40.049999999999997" customHeight="1" x14ac:dyDescent="0.3">
      <c r="A7" s="253" t="s">
        <v>418</v>
      </c>
      <c r="B7" s="265" t="s">
        <v>417</v>
      </c>
      <c r="C7" s="266"/>
      <c r="D7" s="267"/>
      <c r="E7" s="129" t="s">
        <v>416</v>
      </c>
      <c r="F7" s="129" t="s">
        <v>147</v>
      </c>
      <c r="G7" s="129" t="s">
        <v>94</v>
      </c>
      <c r="H7" s="129" t="s">
        <v>415</v>
      </c>
      <c r="I7" s="129" t="s">
        <v>83</v>
      </c>
      <c r="J7" s="129" t="s">
        <v>414</v>
      </c>
      <c r="K7" s="129" t="s">
        <v>163</v>
      </c>
      <c r="L7" s="129" t="s">
        <v>165</v>
      </c>
    </row>
    <row r="8" spans="1:12" s="126" customFormat="1" ht="40.049999999999997" customHeight="1" x14ac:dyDescent="0.3">
      <c r="A8" s="261" t="str">
        <f>IF('PROGRAM JADWAL GENAP'!B7="","",'PROGRAM JADWAL GENAP'!B7)</f>
        <v>Senin</v>
      </c>
      <c r="B8" s="138">
        <f>IF('PROGRAM JADWAL GENAP'!C7="","",'PROGRAM JADWAL GENAP'!C7)</f>
        <v>0.3125</v>
      </c>
      <c r="C8" s="138" t="str">
        <f>IF('PROGRAM JADWAL GENAP'!D7="","",'PROGRAM JADWAL GENAP'!D7)</f>
        <v>s/d</v>
      </c>
      <c r="D8" s="138">
        <f>IF('PROGRAM JADWAL GENAP'!E7="","",'PROGRAM JADWAL GENAP'!E7)</f>
        <v>0.41666666666666669</v>
      </c>
      <c r="E8" s="136" t="str">
        <f>IF('PROGRAM JADWAL GENAP'!H7="","",'PROGRAM JADWAL GENAP'!H7)</f>
        <v>INF-55201-107</v>
      </c>
      <c r="F8" s="137" t="str">
        <f>IF('PROGRAM JADWAL GENAP'!I7="","",'PROGRAM JADWAL GENAP'!I7)</f>
        <v>Organisasi  dan Arsitektur Komputer  </v>
      </c>
      <c r="G8" s="138" t="str">
        <f>IF('PROGRAM JADWAL GENAP'!M7="","",'PROGRAM JADWAL GENAP'!M7)</f>
        <v>D</v>
      </c>
      <c r="H8" s="139">
        <f>IF('PROGRAM JADWAL GENAP'!N7="","",'PROGRAM JADWAL GENAP'!N7)</f>
        <v>2</v>
      </c>
      <c r="I8" s="139">
        <f>IF('PROGRAM JADWAL GENAP'!O7="","",'PROGRAM JADWAL GENAP'!O7)</f>
        <v>3</v>
      </c>
      <c r="J8" s="139">
        <f>IF('PROGRAM JADWAL GENAP'!P7="","",'PROGRAM JADWAL GENAP'!P7)</f>
        <v>28</v>
      </c>
      <c r="K8" s="136" t="str">
        <f>IF('PROGRAM JADWAL GENAP'!S7="","",'PROGRAM JADWAL GENAP'!S7)</f>
        <v>Enda Esyudha Pratama, S.T., M.T. / Khairul Hafidh, S.T., M.Kom.</v>
      </c>
      <c r="L8" s="228" t="str">
        <f>IF('PROGRAM JADWAL GENAP'!T7="","",'PROGRAM JADWAL GENAP'!T7)</f>
        <v/>
      </c>
    </row>
    <row r="9" spans="1:12" s="126" customFormat="1" ht="40.049999999999997" customHeight="1" x14ac:dyDescent="0.3">
      <c r="A9" s="262"/>
      <c r="B9" s="138">
        <f>IF('PROGRAM JADWAL GENAP'!C8="","",'PROGRAM JADWAL GENAP'!C8)</f>
        <v>0.3125</v>
      </c>
      <c r="C9" s="138" t="str">
        <f>IF('PROGRAM JADWAL GENAP'!D8="","",'PROGRAM JADWAL GENAP'!D8)</f>
        <v>s/d</v>
      </c>
      <c r="D9" s="138">
        <f>IF('PROGRAM JADWAL GENAP'!E8="","",'PROGRAM JADWAL GENAP'!E8)</f>
        <v>0.41666666666666669</v>
      </c>
      <c r="E9" s="136" t="str">
        <f>IF('PROGRAM JADWAL GENAP'!H8="","",'PROGRAM JADWAL GENAP'!H8)</f>
        <v>INF-55201-105</v>
      </c>
      <c r="F9" s="137" t="str">
        <f>IF('PROGRAM JADWAL GENAP'!I8="","",'PROGRAM JADWAL GENAP'!I8)</f>
        <v>Probabilitas  dan  Statistik  </v>
      </c>
      <c r="G9" s="138" t="str">
        <f>IF('PROGRAM JADWAL GENAP'!M8="","",'PROGRAM JADWAL GENAP'!M8)</f>
        <v>B</v>
      </c>
      <c r="H9" s="139">
        <f>IF('PROGRAM JADWAL GENAP'!N8="","",'PROGRAM JADWAL GENAP'!N8)</f>
        <v>2</v>
      </c>
      <c r="I9" s="139">
        <f>IF('PROGRAM JADWAL GENAP'!O8="","",'PROGRAM JADWAL GENAP'!O8)</f>
        <v>3</v>
      </c>
      <c r="J9" s="139">
        <f>IF('PROGRAM JADWAL GENAP'!P8="","",'PROGRAM JADWAL GENAP'!P8)</f>
        <v>28</v>
      </c>
      <c r="K9" s="136" t="str">
        <f>IF('PROGRAM JADWAL GENAP'!S8="","",'PROGRAM JADWAL GENAP'!S8)</f>
        <v>Yulianti,S.Kom, MMSI / Niken Candraningrum, S.T., M.Cs.</v>
      </c>
      <c r="L9" s="228" t="str">
        <f>IF('PROGRAM JADWAL GENAP'!T8="","",'PROGRAM JADWAL GENAP'!T8)</f>
        <v/>
      </c>
    </row>
    <row r="10" spans="1:12" s="126" customFormat="1" ht="40.049999999999997" customHeight="1" x14ac:dyDescent="0.3">
      <c r="A10" s="262"/>
      <c r="B10" s="138">
        <f>IF('PROGRAM JADWAL GENAP'!C9="","",'PROGRAM JADWAL GENAP'!C9)</f>
        <v>0.3125</v>
      </c>
      <c r="C10" s="138" t="str">
        <f>IF('PROGRAM JADWAL GENAP'!D9="","",'PROGRAM JADWAL GENAP'!D9)</f>
        <v>s/d</v>
      </c>
      <c r="D10" s="138">
        <f>IF('PROGRAM JADWAL GENAP'!E9="","",'PROGRAM JADWAL GENAP'!E9)</f>
        <v>0.41666666666666669</v>
      </c>
      <c r="E10" s="136" t="str">
        <f>IF('PROGRAM JADWAL GENAP'!H9="","",'PROGRAM JADWAL GENAP'!H9)</f>
        <v>INF-55201-210</v>
      </c>
      <c r="F10" s="137" t="str">
        <f>IF('PROGRAM JADWAL GENAP'!I9="","",'PROGRAM JADWAL GENAP'!I9)</f>
        <v>Sistem Paralel dan Terdistribusi</v>
      </c>
      <c r="G10" s="138" t="str">
        <f>IF('PROGRAM JADWAL GENAP'!M9="","",'PROGRAM JADWAL GENAP'!M9)</f>
        <v>D</v>
      </c>
      <c r="H10" s="139">
        <f>IF('PROGRAM JADWAL GENAP'!N9="","",'PROGRAM JADWAL GENAP'!N9)</f>
        <v>4</v>
      </c>
      <c r="I10" s="139">
        <f>IF('PROGRAM JADWAL GENAP'!O9="","",'PROGRAM JADWAL GENAP'!O9)</f>
        <v>3</v>
      </c>
      <c r="J10" s="139">
        <f>IF('PROGRAM JADWAL GENAP'!P9="","",'PROGRAM JADWAL GENAP'!P9)</f>
        <v>28</v>
      </c>
      <c r="K10" s="136" t="str">
        <f>IF('PROGRAM JADWAL GENAP'!S9="","",'PROGRAM JADWAL GENAP'!S9)</f>
        <v>Helfi Nasution, S.Kom, M.Cs</v>
      </c>
      <c r="L10" s="228" t="str">
        <f>IF('PROGRAM JADWAL GENAP'!T9="","",'PROGRAM JADWAL GENAP'!T9)</f>
        <v/>
      </c>
    </row>
    <row r="11" spans="1:12" s="126" customFormat="1" ht="40.049999999999997" customHeight="1" x14ac:dyDescent="0.3">
      <c r="A11" s="262"/>
      <c r="B11" s="138">
        <f>IF('PROGRAM JADWAL GENAP'!C10="","",'PROGRAM JADWAL GENAP'!C10)</f>
        <v>0.3125</v>
      </c>
      <c r="C11" s="138" t="str">
        <f>IF('PROGRAM JADWAL GENAP'!D10="","",'PROGRAM JADWAL GENAP'!D10)</f>
        <v>s/d</v>
      </c>
      <c r="D11" s="138">
        <f>IF('PROGRAM JADWAL GENAP'!E10="","",'PROGRAM JADWAL GENAP'!E10)</f>
        <v>0.41666666666666669</v>
      </c>
      <c r="E11" s="136" t="str">
        <f>IF('PROGRAM JADWAL GENAP'!H10="","",'PROGRAM JADWAL GENAP'!H10)</f>
        <v>INF-55201-212</v>
      </c>
      <c r="F11" s="137" t="str">
        <f>IF('PROGRAM JADWAL GENAP'!I10="","",'PROGRAM JADWAL GENAP'!I10)</f>
        <v>Analisis  dan  Perancangan  Sistem  </v>
      </c>
      <c r="G11" s="138" t="str">
        <f>IF('PROGRAM JADWAL GENAP'!M10="","",'PROGRAM JADWAL GENAP'!M10)</f>
        <v>B</v>
      </c>
      <c r="H11" s="139">
        <f>IF('PROGRAM JADWAL GENAP'!N10="","",'PROGRAM JADWAL GENAP'!N10)</f>
        <v>4</v>
      </c>
      <c r="I11" s="139">
        <f>IF('PROGRAM JADWAL GENAP'!O10="","",'PROGRAM JADWAL GENAP'!O10)</f>
        <v>3</v>
      </c>
      <c r="J11" s="139">
        <f>IF('PROGRAM JADWAL GENAP'!P10="","",'PROGRAM JADWAL GENAP'!P10)</f>
        <v>28</v>
      </c>
      <c r="K11" s="136" t="str">
        <f>IF('PROGRAM JADWAL GENAP'!S10="","",'PROGRAM JADWAL GENAP'!S10)</f>
        <v>Anggi Srimurdianti, S.T., M.T. / Fauzan Asrin, S.Kom, M. Kom.</v>
      </c>
      <c r="L11" s="228" t="str">
        <f>IF('PROGRAM JADWAL GENAP'!T10="","",'PROGRAM JADWAL GENAP'!T10)</f>
        <v/>
      </c>
    </row>
    <row r="12" spans="1:12" s="126" customFormat="1" ht="40.049999999999997" customHeight="1" x14ac:dyDescent="0.3">
      <c r="A12" s="262"/>
      <c r="B12" s="138">
        <f>IF('PROGRAM JADWAL GENAP'!C11="","",'PROGRAM JADWAL GENAP'!C11)</f>
        <v>0.3125</v>
      </c>
      <c r="C12" s="138" t="str">
        <f>IF('PROGRAM JADWAL GENAP'!D11="","",'PROGRAM JADWAL GENAP'!D11)</f>
        <v>s/d</v>
      </c>
      <c r="D12" s="138">
        <f>IF('PROGRAM JADWAL GENAP'!E11="","",'PROGRAM JADWAL GENAP'!E11)</f>
        <v>0.41666666666666669</v>
      </c>
      <c r="E12" s="136" t="str">
        <f>IF('PROGRAM JADWAL GENAP'!H11="","",'PROGRAM JADWAL GENAP'!H11)</f>
        <v xml:space="preserve"> INF-55201-315</v>
      </c>
      <c r="F12" s="137" t="str">
        <f>IF('PROGRAM JADWAL GENAP'!I11="","",'PROGRAM JADWAL GENAP'!I11)</f>
        <v>MK Pilihan Wajib Multimedia &amp; SIG (SIG)</v>
      </c>
      <c r="G12" s="138" t="str">
        <f>IF('PROGRAM JADWAL GENAP'!M11="","",'PROGRAM JADWAL GENAP'!M11)</f>
        <v>D</v>
      </c>
      <c r="H12" s="139">
        <f>IF('PROGRAM JADWAL GENAP'!N11="","",'PROGRAM JADWAL GENAP'!N11)</f>
        <v>6</v>
      </c>
      <c r="I12" s="139">
        <f>IF('PROGRAM JADWAL GENAP'!O11="","",'PROGRAM JADWAL GENAP'!O11)</f>
        <v>3</v>
      </c>
      <c r="J12" s="139">
        <f>IF('PROGRAM JADWAL GENAP'!P11="","",'PROGRAM JADWAL GENAP'!P11)</f>
        <v>28</v>
      </c>
      <c r="K12" s="136" t="str">
        <f>IF('PROGRAM JADWAL GENAP'!S11="","",'PROGRAM JADWAL GENAP'!S11)</f>
        <v>M.Azhar Irwansyah, S.T.,M.Eng. / Dr. Yus Sholva, S.T., M.T.</v>
      </c>
      <c r="L12" s="228" t="str">
        <f>IF('PROGRAM JADWAL GENAP'!T11="","",'PROGRAM JADWAL GENAP'!T11)</f>
        <v/>
      </c>
    </row>
    <row r="13" spans="1:12" s="126" customFormat="1" ht="40.049999999999997" customHeight="1" x14ac:dyDescent="0.3">
      <c r="A13" s="262"/>
      <c r="B13" s="138">
        <f>IF('PROGRAM JADWAL GENAP'!C12="","",'PROGRAM JADWAL GENAP'!C12)</f>
        <v>0.3125</v>
      </c>
      <c r="C13" s="138" t="str">
        <f>IF('PROGRAM JADWAL GENAP'!D12="","",'PROGRAM JADWAL GENAP'!D12)</f>
        <v>s/d</v>
      </c>
      <c r="D13" s="138">
        <f>IF('PROGRAM JADWAL GENAP'!E12="","",'PROGRAM JADWAL GENAP'!E12)</f>
        <v>0.41666666666666669</v>
      </c>
      <c r="E13" s="136" t="str">
        <f>IF('PROGRAM JADWAL GENAP'!H12="","",'PROGRAM JADWAL GENAP'!H12)</f>
        <v xml:space="preserve"> INF-55201-314</v>
      </c>
      <c r="F13" s="137" t="str">
        <f>IF('PROGRAM JADWAL GENAP'!I12="","",'PROGRAM JADWAL GENAP'!I12)</f>
        <v>MK Pilihan Wajib  Jaringan (Jaringan  Nirkabel  )</v>
      </c>
      <c r="G13" s="138" t="str">
        <f>IF('PROGRAM JADWAL GENAP'!M12="","",'PROGRAM JADWAL GENAP'!M12)</f>
        <v>B</v>
      </c>
      <c r="H13" s="139">
        <f>IF('PROGRAM JADWAL GENAP'!N12="","",'PROGRAM JADWAL GENAP'!N12)</f>
        <v>6</v>
      </c>
      <c r="I13" s="139">
        <f>IF('PROGRAM JADWAL GENAP'!O12="","",'PROGRAM JADWAL GENAP'!O12)</f>
        <v>3</v>
      </c>
      <c r="J13" s="139">
        <f>IF('PROGRAM JADWAL GENAP'!P12="","",'PROGRAM JADWAL GENAP'!P12)</f>
        <v>28</v>
      </c>
      <c r="K13" s="136" t="str">
        <f>IF('PROGRAM JADWAL GENAP'!S12="","",'PROGRAM JADWAL GENAP'!S12)</f>
        <v>Heri Priyanto,S.T., M.T.</v>
      </c>
      <c r="L13" s="228" t="str">
        <f>IF('PROGRAM JADWAL GENAP'!T12="","",'PROGRAM JADWAL GENAP'!T12)</f>
        <v/>
      </c>
    </row>
    <row r="14" spans="1:12" s="126" customFormat="1" ht="40.049999999999997" customHeight="1" x14ac:dyDescent="0.3">
      <c r="A14" s="262"/>
      <c r="B14" s="138" t="str">
        <f>IF('PROGRAM JADWAL GENAP'!C13="","",'PROGRAM JADWAL GENAP'!C13)</f>
        <v/>
      </c>
      <c r="C14" s="138" t="str">
        <f>IF('PROGRAM JADWAL GENAP'!D13="","",'PROGRAM JADWAL GENAP'!D13)</f>
        <v/>
      </c>
      <c r="D14" s="138" t="str">
        <f>IF('PROGRAM JADWAL GENAP'!E13="","",'PROGRAM JADWAL GENAP'!E13)</f>
        <v/>
      </c>
      <c r="E14" s="136" t="str">
        <f>IF('PROGRAM JADWAL GENAP'!H13="","",'PROGRAM JADWAL GENAP'!H13)</f>
        <v/>
      </c>
      <c r="F14" s="137" t="str">
        <f>IF('PROGRAM JADWAL GENAP'!I13="","",'PROGRAM JADWAL GENAP'!I13)</f>
        <v/>
      </c>
      <c r="G14" s="138" t="str">
        <f>IF('PROGRAM JADWAL GENAP'!M13="","",'PROGRAM JADWAL GENAP'!M13)</f>
        <v/>
      </c>
      <c r="H14" s="139" t="str">
        <f>IF('PROGRAM JADWAL GENAP'!N13="","",'PROGRAM JADWAL GENAP'!N13)</f>
        <v/>
      </c>
      <c r="I14" s="139" t="str">
        <f>IF('PROGRAM JADWAL GENAP'!O13="","",'PROGRAM JADWAL GENAP'!O13)</f>
        <v/>
      </c>
      <c r="J14" s="139" t="str">
        <f>IF('PROGRAM JADWAL GENAP'!P13="","",'PROGRAM JADWAL GENAP'!P13)</f>
        <v/>
      </c>
      <c r="K14" s="136" t="str">
        <f>IF('PROGRAM JADWAL GENAP'!S13="","",'PROGRAM JADWAL GENAP'!S13)</f>
        <v/>
      </c>
      <c r="L14" s="228" t="str">
        <f>IF('PROGRAM JADWAL GENAP'!T13="","",'PROGRAM JADWAL GENAP'!T13)</f>
        <v/>
      </c>
    </row>
    <row r="15" spans="1:12" s="126" customFormat="1" ht="40.049999999999997" customHeight="1" x14ac:dyDescent="0.3">
      <c r="A15" s="262"/>
      <c r="B15" s="138" t="str">
        <f>IF('PROGRAM JADWAL GENAP'!C14="","",'PROGRAM JADWAL GENAP'!C14)</f>
        <v/>
      </c>
      <c r="C15" s="138" t="str">
        <f>IF('PROGRAM JADWAL GENAP'!D14="","",'PROGRAM JADWAL GENAP'!D14)</f>
        <v/>
      </c>
      <c r="D15" s="138" t="str">
        <f>IF('PROGRAM JADWAL GENAP'!E14="","",'PROGRAM JADWAL GENAP'!E14)</f>
        <v/>
      </c>
      <c r="E15" s="136" t="str">
        <f>IF('PROGRAM JADWAL GENAP'!H14="","",'PROGRAM JADWAL GENAP'!H14)</f>
        <v/>
      </c>
      <c r="F15" s="137" t="str">
        <f>IF('PROGRAM JADWAL GENAP'!I14="","",'PROGRAM JADWAL GENAP'!I14)</f>
        <v/>
      </c>
      <c r="G15" s="138" t="str">
        <f>IF('PROGRAM JADWAL GENAP'!M14="","",'PROGRAM JADWAL GENAP'!M14)</f>
        <v/>
      </c>
      <c r="H15" s="139" t="str">
        <f>IF('PROGRAM JADWAL GENAP'!N14="","",'PROGRAM JADWAL GENAP'!N14)</f>
        <v/>
      </c>
      <c r="I15" s="139" t="str">
        <f>IF('PROGRAM JADWAL GENAP'!O14="","",'PROGRAM JADWAL GENAP'!O14)</f>
        <v/>
      </c>
      <c r="J15" s="139" t="str">
        <f>IF('PROGRAM JADWAL GENAP'!P14="","",'PROGRAM JADWAL GENAP'!P14)</f>
        <v/>
      </c>
      <c r="K15" s="136" t="str">
        <f>IF('PROGRAM JADWAL GENAP'!S14="","",'PROGRAM JADWAL GENAP'!S14)</f>
        <v/>
      </c>
      <c r="L15" s="228" t="str">
        <f>IF('PROGRAM JADWAL GENAP'!T14="","",'PROGRAM JADWAL GENAP'!T14)</f>
        <v/>
      </c>
    </row>
    <row r="16" spans="1:12" s="126" customFormat="1" ht="40.049999999999997" customHeight="1" x14ac:dyDescent="0.3">
      <c r="A16" s="262"/>
      <c r="B16" s="138">
        <f>IF('PROGRAM JADWAL GENAP'!C15="","",'PROGRAM JADWAL GENAP'!C15)</f>
        <v>0.4236111111111111</v>
      </c>
      <c r="C16" s="138" t="str">
        <f>IF('PROGRAM JADWAL GENAP'!D15="","",'PROGRAM JADWAL GENAP'!D15)</f>
        <v>s/d</v>
      </c>
      <c r="D16" s="138">
        <f>IF('PROGRAM JADWAL GENAP'!E15="","",'PROGRAM JADWAL GENAP'!E15)</f>
        <v>0.49305555555555558</v>
      </c>
      <c r="E16" s="136" t="str">
        <f>IF('PROGRAM JADWAL GENAP'!H15="","",'PROGRAM JADWAL GENAP'!H15)</f>
        <v>UMG-55201-102</v>
      </c>
      <c r="F16" s="137" t="str">
        <f>IF('PROGRAM JADWAL GENAP'!I15="","",'PROGRAM JADWAL GENAP'!I15)</f>
        <v>Bahasa Indonesia</v>
      </c>
      <c r="G16" s="138" t="str">
        <f>IF('PROGRAM JADWAL GENAP'!M15="","",'PROGRAM JADWAL GENAP'!M15)</f>
        <v>D</v>
      </c>
      <c r="H16" s="139">
        <f>IF('PROGRAM JADWAL GENAP'!N15="","",'PROGRAM JADWAL GENAP'!N15)</f>
        <v>2</v>
      </c>
      <c r="I16" s="139">
        <f>IF('PROGRAM JADWAL GENAP'!O15="","",'PROGRAM JADWAL GENAP'!O15)</f>
        <v>2</v>
      </c>
      <c r="J16" s="139">
        <f>IF('PROGRAM JADWAL GENAP'!P15="","",'PROGRAM JADWAL GENAP'!P15)</f>
        <v>28</v>
      </c>
      <c r="K16" s="136" t="str">
        <f>IF('PROGRAM JADWAL GENAP'!S15="","",'PROGRAM JADWAL GENAP'!S15)</f>
        <v>MKU</v>
      </c>
      <c r="L16" s="228" t="str">
        <f>IF('PROGRAM JADWAL GENAP'!T15="","",'PROGRAM JADWAL GENAP'!T15)</f>
        <v/>
      </c>
    </row>
    <row r="17" spans="1:12" s="126" customFormat="1" ht="40.049999999999997" customHeight="1" x14ac:dyDescent="0.3">
      <c r="A17" s="262"/>
      <c r="B17" s="138">
        <f>IF('PROGRAM JADWAL GENAP'!C16="","",'PROGRAM JADWAL GENAP'!C16)</f>
        <v>0.4236111111111111</v>
      </c>
      <c r="C17" s="138" t="str">
        <f>IF('PROGRAM JADWAL GENAP'!D16="","",'PROGRAM JADWAL GENAP'!D16)</f>
        <v>s/d</v>
      </c>
      <c r="D17" s="138">
        <f>IF('PROGRAM JADWAL GENAP'!E16="","",'PROGRAM JADWAL GENAP'!E16)</f>
        <v>0.49305555555555558</v>
      </c>
      <c r="E17" s="136" t="str">
        <f>IF('PROGRAM JADWAL GENAP'!H16="","",'PROGRAM JADWAL GENAP'!H16)</f>
        <v>INF-55201-213</v>
      </c>
      <c r="F17" s="137" t="str">
        <f>IF('PROGRAM JADWAL GENAP'!I16="","",'PROGRAM JADWAL GENAP'!I16)</f>
        <v>Sistem Informasi</v>
      </c>
      <c r="G17" s="138" t="str">
        <f>IF('PROGRAM JADWAL GENAP'!M16="","",'PROGRAM JADWAL GENAP'!M16)</f>
        <v>D</v>
      </c>
      <c r="H17" s="139">
        <f>IF('PROGRAM JADWAL GENAP'!N16="","",'PROGRAM JADWAL GENAP'!N16)</f>
        <v>4</v>
      </c>
      <c r="I17" s="139">
        <f>IF('PROGRAM JADWAL GENAP'!O16="","",'PROGRAM JADWAL GENAP'!O16)</f>
        <v>2</v>
      </c>
      <c r="J17" s="139">
        <f>IF('PROGRAM JADWAL GENAP'!P16="","",'PROGRAM JADWAL GENAP'!P16)</f>
        <v>28</v>
      </c>
      <c r="K17" s="136" t="str">
        <f>IF('PROGRAM JADWAL GENAP'!S16="","",'PROGRAM JADWAL GENAP'!S16)</f>
        <v>Eva Faja Ripanti, S.Kom, MMSI, Ph.D / Yulianti,S.Kom, MMSI</v>
      </c>
      <c r="L17" s="228" t="str">
        <f>IF('PROGRAM JADWAL GENAP'!T16="","",'PROGRAM JADWAL GENAP'!T16)</f>
        <v/>
      </c>
    </row>
    <row r="18" spans="1:12" s="126" customFormat="1" ht="40.049999999999997" customHeight="1" x14ac:dyDescent="0.3">
      <c r="A18" s="262"/>
      <c r="B18" s="138">
        <f>IF('PROGRAM JADWAL GENAP'!C17="","",'PROGRAM JADWAL GENAP'!C17)</f>
        <v>0.4236111111111111</v>
      </c>
      <c r="C18" s="138" t="str">
        <f>IF('PROGRAM JADWAL GENAP'!D17="","",'PROGRAM JADWAL GENAP'!D17)</f>
        <v>s/d</v>
      </c>
      <c r="D18" s="138">
        <f>IF('PROGRAM JADWAL GENAP'!E17="","",'PROGRAM JADWAL GENAP'!E17)</f>
        <v>0.49305555555555558</v>
      </c>
      <c r="E18" s="136" t="str">
        <f>IF('PROGRAM JADWAL GENAP'!H17="","",'PROGRAM JADWAL GENAP'!H17)</f>
        <v xml:space="preserve"> INF-55201-312</v>
      </c>
      <c r="F18" s="137" t="str">
        <f>IF('PROGRAM JADWAL GENAP'!I17="","",'PROGRAM JADWAL GENAP'!I17)</f>
        <v>Sosio dan Etika Profesi</v>
      </c>
      <c r="G18" s="138" t="str">
        <f>IF('PROGRAM JADWAL GENAP'!M17="","",'PROGRAM JADWAL GENAP'!M17)</f>
        <v>B</v>
      </c>
      <c r="H18" s="139">
        <f>IF('PROGRAM JADWAL GENAP'!N17="","",'PROGRAM JADWAL GENAP'!N17)</f>
        <v>6</v>
      </c>
      <c r="I18" s="139">
        <f>IF('PROGRAM JADWAL GENAP'!O17="","",'PROGRAM JADWAL GENAP'!O17)</f>
        <v>2</v>
      </c>
      <c r="J18" s="139">
        <f>IF('PROGRAM JADWAL GENAP'!P17="","",'PROGRAM JADWAL GENAP'!P17)</f>
        <v>28</v>
      </c>
      <c r="K18" s="136" t="str">
        <f>IF('PROGRAM JADWAL GENAP'!S17="","",'PROGRAM JADWAL GENAP'!S17)</f>
        <v>Hafiz Muhardi, S.T., M.Kom</v>
      </c>
      <c r="L18" s="228" t="str">
        <f>IF('PROGRAM JADWAL GENAP'!T17="","",'PROGRAM JADWAL GENAP'!T17)</f>
        <v/>
      </c>
    </row>
    <row r="19" spans="1:12" s="126" customFormat="1" ht="40.049999999999997" customHeight="1" x14ac:dyDescent="0.3">
      <c r="A19" s="262"/>
      <c r="B19" s="138">
        <f>IF('PROGRAM JADWAL GENAP'!C18="","",'PROGRAM JADWAL GENAP'!C18)</f>
        <v>0.4236111111111111</v>
      </c>
      <c r="C19" s="138" t="str">
        <f>IF('PROGRAM JADWAL GENAP'!D18="","",'PROGRAM JADWAL GENAP'!D18)</f>
        <v>s/d</v>
      </c>
      <c r="D19" s="138">
        <f>IF('PROGRAM JADWAL GENAP'!E18="","",'PROGRAM JADWAL GENAP'!E18)</f>
        <v>0.49305555555555558</v>
      </c>
      <c r="E19" s="136" t="str">
        <f>IF('PROGRAM JADWAL GENAP'!H18="","",'PROGRAM JADWAL GENAP'!H18)</f>
        <v xml:space="preserve"> INF-55201-307</v>
      </c>
      <c r="F19" s="137" t="str">
        <f>IF('PROGRAM JADWAL GENAP'!I18="","",'PROGRAM JADWAL GENAP'!I18)</f>
        <v xml:space="preserve">Teori Komputer Grafis </v>
      </c>
      <c r="G19" s="138" t="str">
        <f>IF('PROGRAM JADWAL GENAP'!M18="","",'PROGRAM JADWAL GENAP'!M18)</f>
        <v>D</v>
      </c>
      <c r="H19" s="139">
        <f>IF('PROGRAM JADWAL GENAP'!N18="","",'PROGRAM JADWAL GENAP'!N18)</f>
        <v>6</v>
      </c>
      <c r="I19" s="139">
        <f>IF('PROGRAM JADWAL GENAP'!O18="","",'PROGRAM JADWAL GENAP'!O18)</f>
        <v>2</v>
      </c>
      <c r="J19" s="139">
        <f>IF('PROGRAM JADWAL GENAP'!P18="","",'PROGRAM JADWAL GENAP'!P18)</f>
        <v>28</v>
      </c>
      <c r="K19" s="136" t="str">
        <f>IF('PROGRAM JADWAL GENAP'!S18="","",'PROGRAM JADWAL GENAP'!S18)</f>
        <v>H. Hengky Anra, S.T., M.Kom</v>
      </c>
      <c r="L19" s="228" t="str">
        <f>IF('PROGRAM JADWAL GENAP'!T18="","",'PROGRAM JADWAL GENAP'!T18)</f>
        <v/>
      </c>
    </row>
    <row r="20" spans="1:12" s="126" customFormat="1" ht="40.049999999999997" customHeight="1" x14ac:dyDescent="0.3">
      <c r="A20" s="262"/>
      <c r="B20" s="138" t="str">
        <f>IF('PROGRAM JADWAL GENAP'!C19="","",'PROGRAM JADWAL GENAP'!C19)</f>
        <v/>
      </c>
      <c r="C20" s="138" t="str">
        <f>IF('PROGRAM JADWAL GENAP'!D19="","",'PROGRAM JADWAL GENAP'!D19)</f>
        <v/>
      </c>
      <c r="D20" s="138" t="str">
        <f>IF('PROGRAM JADWAL GENAP'!E19="","",'PROGRAM JADWAL GENAP'!E19)</f>
        <v/>
      </c>
      <c r="E20" s="136" t="str">
        <f>IF('PROGRAM JADWAL GENAP'!H19="","",'PROGRAM JADWAL GENAP'!H19)</f>
        <v/>
      </c>
      <c r="F20" s="137" t="str">
        <f>IF('PROGRAM JADWAL GENAP'!I19="","",'PROGRAM JADWAL GENAP'!I19)</f>
        <v/>
      </c>
      <c r="G20" s="138" t="str">
        <f>IF('PROGRAM JADWAL GENAP'!M19="","",'PROGRAM JADWAL GENAP'!M19)</f>
        <v/>
      </c>
      <c r="H20" s="139" t="str">
        <f>IF('PROGRAM JADWAL GENAP'!N19="","",'PROGRAM JADWAL GENAP'!N19)</f>
        <v/>
      </c>
      <c r="I20" s="139" t="str">
        <f>IF('PROGRAM JADWAL GENAP'!O19="","",'PROGRAM JADWAL GENAP'!O19)</f>
        <v/>
      </c>
      <c r="J20" s="139" t="str">
        <f>IF('PROGRAM JADWAL GENAP'!P19="","",'PROGRAM JADWAL GENAP'!P19)</f>
        <v/>
      </c>
      <c r="K20" s="136" t="str">
        <f>IF('PROGRAM JADWAL GENAP'!S19="","",'PROGRAM JADWAL GENAP'!S19)</f>
        <v/>
      </c>
      <c r="L20" s="228" t="str">
        <f>IF('PROGRAM JADWAL GENAP'!T19="","",'PROGRAM JADWAL GENAP'!T19)</f>
        <v/>
      </c>
    </row>
    <row r="21" spans="1:12" s="126" customFormat="1" ht="40.049999999999997" customHeight="1" x14ac:dyDescent="0.3">
      <c r="A21" s="262"/>
      <c r="B21" s="138">
        <f>IF('PROGRAM JADWAL GENAP'!C20="","",'PROGRAM JADWAL GENAP'!C20)</f>
        <v>0.53125</v>
      </c>
      <c r="C21" s="138" t="str">
        <f>IF('PROGRAM JADWAL GENAP'!D20="","",'PROGRAM JADWAL GENAP'!D20)</f>
        <v>s/d</v>
      </c>
      <c r="D21" s="138">
        <f>IF('PROGRAM JADWAL GENAP'!E20="","",'PROGRAM JADWAL GENAP'!E20)</f>
        <v>0.60069444444444442</v>
      </c>
      <c r="E21" s="136" t="str">
        <f>IF('PROGRAM JADWAL GENAP'!H20="","",'PROGRAM JADWAL GENAP'!H20)</f>
        <v>INF-55201-109</v>
      </c>
      <c r="F21" s="137" t="str">
        <f>IF('PROGRAM JADWAL GENAP'!I20="","",'PROGRAM JADWAL GENAP'!I20)</f>
        <v>Struktur  Data  dan Algoritma*</v>
      </c>
      <c r="G21" s="138" t="str">
        <f>IF('PROGRAM JADWAL GENAP'!M20="","",'PROGRAM JADWAL GENAP'!M20)</f>
        <v>A</v>
      </c>
      <c r="H21" s="139">
        <f>IF('PROGRAM JADWAL GENAP'!N20="","",'PROGRAM JADWAL GENAP'!N20)</f>
        <v>2</v>
      </c>
      <c r="I21" s="139">
        <f>IF('PROGRAM JADWAL GENAP'!O20="","",'PROGRAM JADWAL GENAP'!O20)</f>
        <v>4</v>
      </c>
      <c r="J21" s="139">
        <f>IF('PROGRAM JADWAL GENAP'!P20="","",'PROGRAM JADWAL GENAP'!P20)</f>
        <v>35</v>
      </c>
      <c r="K21" s="136" t="str">
        <f>IF('PROGRAM JADWAL GENAP'!S20="","",'PROGRAM JADWAL GENAP'!S20)</f>
        <v>Morteza Muthahhari, S.Kom., M.T.I / Fauzan Asrin, S.Kom, M. Kom.</v>
      </c>
      <c r="L21" s="228" t="str">
        <f>IF('PROGRAM JADWAL GENAP'!T20="","",'PROGRAM JADWAL GENAP'!T20)</f>
        <v/>
      </c>
    </row>
    <row r="22" spans="1:12" ht="40.049999999999997" customHeight="1" x14ac:dyDescent="0.3">
      <c r="A22" s="262"/>
      <c r="B22" s="138">
        <f>IF('PROGRAM JADWAL GENAP'!C21="","",'PROGRAM JADWAL GENAP'!C21)</f>
        <v>0.53125</v>
      </c>
      <c r="C22" s="138" t="str">
        <f>IF('PROGRAM JADWAL GENAP'!D21="","",'PROGRAM JADWAL GENAP'!D21)</f>
        <v>s/d</v>
      </c>
      <c r="D22" s="138">
        <f>IF('PROGRAM JADWAL GENAP'!E21="","",'PROGRAM JADWAL GENAP'!E21)</f>
        <v>0.60069444444444442</v>
      </c>
      <c r="E22" s="136" t="str">
        <f>IF('PROGRAM JADWAL GENAP'!H21="","",'PROGRAM JADWAL GENAP'!H21)</f>
        <v>INF-55201-208</v>
      </c>
      <c r="F22" s="137" t="str">
        <f>IF('PROGRAM JADWAL GENAP'!I21="","",'PROGRAM JADWAL GENAP'!I21)</f>
        <v>Manajemen Basis Data*</v>
      </c>
      <c r="G22" s="138" t="str">
        <f>IF('PROGRAM JADWAL GENAP'!M21="","",'PROGRAM JADWAL GENAP'!M21)</f>
        <v>B</v>
      </c>
      <c r="H22" s="139">
        <f>IF('PROGRAM JADWAL GENAP'!N21="","",'PROGRAM JADWAL GENAP'!N21)</f>
        <v>4</v>
      </c>
      <c r="I22" s="139">
        <f>IF('PROGRAM JADWAL GENAP'!O21="","",'PROGRAM JADWAL GENAP'!O21)</f>
        <v>4</v>
      </c>
      <c r="J22" s="139">
        <f>IF('PROGRAM JADWAL GENAP'!P21="","",'PROGRAM JADWAL GENAP'!P21)</f>
        <v>35</v>
      </c>
      <c r="K22" s="136" t="str">
        <f>IF('PROGRAM JADWAL GENAP'!S21="","",'PROGRAM JADWAL GENAP'!S21)</f>
        <v>Haried Novriando, S.Kom, M.Eng / Helen Sastypratiwi, S.T., M.Eng</v>
      </c>
      <c r="L22" s="228" t="str">
        <f>IF('PROGRAM JADWAL GENAP'!T21="","",'PROGRAM JADWAL GENAP'!T21)</f>
        <v/>
      </c>
    </row>
    <row r="23" spans="1:12" ht="40.049999999999997" customHeight="1" x14ac:dyDescent="0.3">
      <c r="A23" s="262"/>
      <c r="B23" s="138">
        <f>IF('PROGRAM JADWAL GENAP'!C22="","",'PROGRAM JADWAL GENAP'!C22)</f>
        <v>0.53125</v>
      </c>
      <c r="C23" s="138" t="str">
        <f>IF('PROGRAM JADWAL GENAP'!D22="","",'PROGRAM JADWAL GENAP'!D22)</f>
        <v>s/d</v>
      </c>
      <c r="D23" s="138">
        <f>IF('PROGRAM JADWAL GENAP'!E22="","",'PROGRAM JADWAL GENAP'!E22)</f>
        <v>0.60069444444444442</v>
      </c>
      <c r="E23" s="136" t="str">
        <f>IF('PROGRAM JADWAL GENAP'!H22="","",'PROGRAM JADWAL GENAP'!H22)</f>
        <v>INF-55201-211</v>
      </c>
      <c r="F23" s="137" t="str">
        <f>IF('PROGRAM JADWAL GENAP'!I22="","",'PROGRAM JADWAL GENAP'!I22)</f>
        <v>Pemrograman  Berorientasi  Objek * </v>
      </c>
      <c r="G23" s="138" t="str">
        <f>IF('PROGRAM JADWAL GENAP'!M22="","",'PROGRAM JADWAL GENAP'!M22)</f>
        <v>A</v>
      </c>
      <c r="H23" s="139">
        <f>IF('PROGRAM JADWAL GENAP'!N22="","",'PROGRAM JADWAL GENAP'!N22)</f>
        <v>4</v>
      </c>
      <c r="I23" s="139">
        <f>IF('PROGRAM JADWAL GENAP'!O22="","",'PROGRAM JADWAL GENAP'!O22)</f>
        <v>4</v>
      </c>
      <c r="J23" s="139">
        <f>IF('PROGRAM JADWAL GENAP'!P22="","",'PROGRAM JADWAL GENAP'!P22)</f>
        <v>35</v>
      </c>
      <c r="K23" s="136" t="str">
        <f>IF('PROGRAM JADWAL GENAP'!S22="","",'PROGRAM JADWAL GENAP'!S22)</f>
        <v>Rudy Dwi Nyoto, S.T., M.Eng</v>
      </c>
      <c r="L23" s="228" t="str">
        <f>IF('PROGRAM JADWAL GENAP'!T22="","",'PROGRAM JADWAL GENAP'!T22)</f>
        <v/>
      </c>
    </row>
    <row r="24" spans="1:12" ht="40.049999999999997" customHeight="1" x14ac:dyDescent="0.3">
      <c r="A24" s="262"/>
      <c r="B24" s="138">
        <f>IF('PROGRAM JADWAL GENAP'!C23="","",'PROGRAM JADWAL GENAP'!C23)</f>
        <v>0.53125</v>
      </c>
      <c r="C24" s="138" t="str">
        <f>IF('PROGRAM JADWAL GENAP'!D23="","",'PROGRAM JADWAL GENAP'!D23)</f>
        <v>s/d</v>
      </c>
      <c r="D24" s="138">
        <f>IF('PROGRAM JADWAL GENAP'!E23="","",'PROGRAM JADWAL GENAP'!E23)</f>
        <v>0.60069444444444442</v>
      </c>
      <c r="E24" s="136" t="str">
        <f>IF('PROGRAM JADWAL GENAP'!H23="","",'PROGRAM JADWAL GENAP'!H23)</f>
        <v xml:space="preserve"> INF-55201-316</v>
      </c>
      <c r="F24" s="137" t="str">
        <f>IF('PROGRAM JADWAL GENAP'!I23="","",'PROGRAM JADWAL GENAP'!I23)</f>
        <v>Proyek Perangkat  Lunak*</v>
      </c>
      <c r="G24" s="138" t="str">
        <f>IF('PROGRAM JADWAL GENAP'!M23="","",'PROGRAM JADWAL GENAP'!M23)</f>
        <v>B</v>
      </c>
      <c r="H24" s="139">
        <f>IF('PROGRAM JADWAL GENAP'!N23="","",'PROGRAM JADWAL GENAP'!N23)</f>
        <v>6</v>
      </c>
      <c r="I24" s="139">
        <f>IF('PROGRAM JADWAL GENAP'!O23="","",'PROGRAM JADWAL GENAP'!O23)</f>
        <v>4</v>
      </c>
      <c r="J24" s="139">
        <f>IF('PROGRAM JADWAL GENAP'!P23="","",'PROGRAM JADWAL GENAP'!P23)</f>
        <v>35</v>
      </c>
      <c r="K24" s="136" t="str">
        <f>IF('PROGRAM JADWAL GENAP'!S23="","",'PROGRAM JADWAL GENAP'!S23)</f>
        <v>Anggi Perwitasari, S.T., M.T. / Desepta Isna Ulumi, S.Kom, M.Kom.</v>
      </c>
      <c r="L24" s="228" t="str">
        <f>IF('PROGRAM JADWAL GENAP'!T23="","",'PROGRAM JADWAL GENAP'!T23)</f>
        <v/>
      </c>
    </row>
    <row r="25" spans="1:12" ht="40.049999999999997" customHeight="1" x14ac:dyDescent="0.3">
      <c r="A25" s="262"/>
      <c r="B25" s="138" t="str">
        <f>IF('PROGRAM JADWAL GENAP'!C24="","",'PROGRAM JADWAL GENAP'!C24)</f>
        <v/>
      </c>
      <c r="C25" s="138" t="str">
        <f>IF('PROGRAM JADWAL GENAP'!D24="","",'PROGRAM JADWAL GENAP'!D24)</f>
        <v/>
      </c>
      <c r="D25" s="138" t="str">
        <f>IF('PROGRAM JADWAL GENAP'!E24="","",'PROGRAM JADWAL GENAP'!E24)</f>
        <v/>
      </c>
      <c r="E25" s="136" t="str">
        <f>IF('PROGRAM JADWAL GENAP'!H24="","",'PROGRAM JADWAL GENAP'!H24)</f>
        <v/>
      </c>
      <c r="F25" s="137" t="str">
        <f>IF('PROGRAM JADWAL GENAP'!I24="","",'PROGRAM JADWAL GENAP'!I24)</f>
        <v/>
      </c>
      <c r="G25" s="138" t="str">
        <f>IF('PROGRAM JADWAL GENAP'!M24="","",'PROGRAM JADWAL GENAP'!M24)</f>
        <v/>
      </c>
      <c r="H25" s="139" t="str">
        <f>IF('PROGRAM JADWAL GENAP'!N24="","",'PROGRAM JADWAL GENAP'!N24)</f>
        <v/>
      </c>
      <c r="I25" s="139" t="str">
        <f>IF('PROGRAM JADWAL GENAP'!O24="","",'PROGRAM JADWAL GENAP'!O24)</f>
        <v/>
      </c>
      <c r="J25" s="139" t="str">
        <f>IF('PROGRAM JADWAL GENAP'!P24="","",'PROGRAM JADWAL GENAP'!P24)</f>
        <v/>
      </c>
      <c r="K25" s="136" t="str">
        <f>IF('PROGRAM JADWAL GENAP'!S24="","",'PROGRAM JADWAL GENAP'!S24)</f>
        <v/>
      </c>
      <c r="L25" s="228" t="str">
        <f>IF('PROGRAM JADWAL GENAP'!T24="","",'PROGRAM JADWAL GENAP'!T24)</f>
        <v/>
      </c>
    </row>
    <row r="26" spans="1:12" ht="40.049999999999997" customHeight="1" x14ac:dyDescent="0.3">
      <c r="A26" s="262"/>
      <c r="B26" s="138">
        <f>IF('PROGRAM JADWAL GENAP'!C25="","",'PROGRAM JADWAL GENAP'!C25)</f>
        <v>0.60763888888888895</v>
      </c>
      <c r="C26" s="138" t="str">
        <f>IF('PROGRAM JADWAL GENAP'!D25="","",'PROGRAM JADWAL GENAP'!D25)</f>
        <v>s/d</v>
      </c>
      <c r="D26" s="138">
        <f>IF('PROGRAM JADWAL GENAP'!E25="","",'PROGRAM JADWAL GENAP'!E25)</f>
        <v>0.71180555555555558</v>
      </c>
      <c r="E26" s="136" t="str">
        <f>IF('PROGRAM JADWAL GENAP'!H25="","",'PROGRAM JADWAL GENAP'!H25)</f>
        <v>INF-55201-107</v>
      </c>
      <c r="F26" s="137" t="str">
        <f>IF('PROGRAM JADWAL GENAP'!I25="","",'PROGRAM JADWAL GENAP'!I25)</f>
        <v>Organisasi  dan Arsitektur Komputer  </v>
      </c>
      <c r="G26" s="138" t="str">
        <f>IF('PROGRAM JADWAL GENAP'!M25="","",'PROGRAM JADWAL GENAP'!M25)</f>
        <v>A</v>
      </c>
      <c r="H26" s="139">
        <f>IF('PROGRAM JADWAL GENAP'!N25="","",'PROGRAM JADWAL GENAP'!N25)</f>
        <v>2</v>
      </c>
      <c r="I26" s="139">
        <f>IF('PROGRAM JADWAL GENAP'!O25="","",'PROGRAM JADWAL GENAP'!O25)</f>
        <v>3</v>
      </c>
      <c r="J26" s="139">
        <f>IF('PROGRAM JADWAL GENAP'!P25="","",'PROGRAM JADWAL GENAP'!P25)</f>
        <v>28</v>
      </c>
      <c r="K26" s="136" t="str">
        <f>IF('PROGRAM JADWAL GENAP'!S25="","",'PROGRAM JADWAL GENAP'!S25)</f>
        <v>Morteza Muthahhari, S.Kom., M.T.I / Alfian Abdul Jalid, S.Kom., M.Cs.</v>
      </c>
      <c r="L26" s="228" t="str">
        <f>IF('PROGRAM JADWAL GENAP'!T25="","",'PROGRAM JADWAL GENAP'!T25)</f>
        <v/>
      </c>
    </row>
    <row r="27" spans="1:12" ht="40.049999999999997" customHeight="1" x14ac:dyDescent="0.3">
      <c r="A27" s="262"/>
      <c r="B27" s="138">
        <f>IF('PROGRAM JADWAL GENAP'!C26="","",'PROGRAM JADWAL GENAP'!C26)</f>
        <v>0.60763888888888895</v>
      </c>
      <c r="C27" s="138" t="str">
        <f>IF('PROGRAM JADWAL GENAP'!D26="","",'PROGRAM JADWAL GENAP'!D26)</f>
        <v>s/d</v>
      </c>
      <c r="D27" s="138">
        <f>IF('PROGRAM JADWAL GENAP'!E26="","",'PROGRAM JADWAL GENAP'!E26)</f>
        <v>0.71180555555555558</v>
      </c>
      <c r="E27" s="136" t="str">
        <f>IF('PROGRAM JADWAL GENAP'!H26="","",'PROGRAM JADWAL GENAP'!H26)</f>
        <v>INF-55201-105</v>
      </c>
      <c r="F27" s="137" t="str">
        <f>IF('PROGRAM JADWAL GENAP'!I26="","",'PROGRAM JADWAL GENAP'!I26)</f>
        <v>Probabilitas  dan  Statistik  </v>
      </c>
      <c r="G27" s="138" t="str">
        <f>IF('PROGRAM JADWAL GENAP'!M26="","",'PROGRAM JADWAL GENAP'!M26)</f>
        <v>C</v>
      </c>
      <c r="H27" s="139">
        <f>IF('PROGRAM JADWAL GENAP'!N26="","",'PROGRAM JADWAL GENAP'!N26)</f>
        <v>2</v>
      </c>
      <c r="I27" s="139">
        <f>IF('PROGRAM JADWAL GENAP'!O26="","",'PROGRAM JADWAL GENAP'!O26)</f>
        <v>3</v>
      </c>
      <c r="J27" s="139">
        <f>IF('PROGRAM JADWAL GENAP'!P26="","",'PROGRAM JADWAL GENAP'!P26)</f>
        <v>28</v>
      </c>
      <c r="K27" s="136" t="str">
        <f>IF('PROGRAM JADWAL GENAP'!S26="","",'PROGRAM JADWAL GENAP'!S26)</f>
        <v>Helen Sastypratiwi, S.T., M.Eng / Rina Septiriana, S.T., M.Cs.</v>
      </c>
      <c r="L27" s="228" t="str">
        <f>IF('PROGRAM JADWAL GENAP'!T26="","",'PROGRAM JADWAL GENAP'!T26)</f>
        <v/>
      </c>
    </row>
    <row r="28" spans="1:12" ht="40.049999999999997" customHeight="1" x14ac:dyDescent="0.3">
      <c r="A28" s="262"/>
      <c r="B28" s="138">
        <f>IF('PROGRAM JADWAL GENAP'!C27="","",'PROGRAM JADWAL GENAP'!C27)</f>
        <v>0.60763888888888895</v>
      </c>
      <c r="C28" s="138" t="str">
        <f>IF('PROGRAM JADWAL GENAP'!D27="","",'PROGRAM JADWAL GENAP'!D27)</f>
        <v>s/d</v>
      </c>
      <c r="D28" s="138">
        <f>IF('PROGRAM JADWAL GENAP'!E27="","",'PROGRAM JADWAL GENAP'!E27)</f>
        <v>0.71180555555555558</v>
      </c>
      <c r="E28" s="136" t="str">
        <f>IF('PROGRAM JADWAL GENAP'!H27="","",'PROGRAM JADWAL GENAP'!H27)</f>
        <v>INF-55201-210</v>
      </c>
      <c r="F28" s="137" t="str">
        <f>IF('PROGRAM JADWAL GENAP'!I27="","",'PROGRAM JADWAL GENAP'!I27)</f>
        <v>Sistem Paralel dan Terdistribusi</v>
      </c>
      <c r="G28" s="138" t="str">
        <f>IF('PROGRAM JADWAL GENAP'!M27="","",'PROGRAM JADWAL GENAP'!M27)</f>
        <v>A</v>
      </c>
      <c r="H28" s="139">
        <f>IF('PROGRAM JADWAL GENAP'!N27="","",'PROGRAM JADWAL GENAP'!N27)</f>
        <v>4</v>
      </c>
      <c r="I28" s="139">
        <f>IF('PROGRAM JADWAL GENAP'!O27="","",'PROGRAM JADWAL GENAP'!O27)</f>
        <v>3</v>
      </c>
      <c r="J28" s="139">
        <f>IF('PROGRAM JADWAL GENAP'!P27="","",'PROGRAM JADWAL GENAP'!P27)</f>
        <v>28</v>
      </c>
      <c r="K28" s="136" t="str">
        <f>IF('PROGRAM JADWAL GENAP'!S27="","",'PROGRAM JADWAL GENAP'!S27)</f>
        <v>Helfi Nasution, S.Kom, M.Cs</v>
      </c>
      <c r="L28" s="228" t="str">
        <f>IF('PROGRAM JADWAL GENAP'!T27="","",'PROGRAM JADWAL GENAP'!T27)</f>
        <v/>
      </c>
    </row>
    <row r="29" spans="1:12" ht="40.049999999999997" customHeight="1" x14ac:dyDescent="0.3">
      <c r="A29" s="262"/>
      <c r="B29" s="138">
        <f>IF('PROGRAM JADWAL GENAP'!C28="","",'PROGRAM JADWAL GENAP'!C28)</f>
        <v>0.60763888888888895</v>
      </c>
      <c r="C29" s="138" t="str">
        <f>IF('PROGRAM JADWAL GENAP'!D28="","",'PROGRAM JADWAL GENAP'!D28)</f>
        <v>s/d</v>
      </c>
      <c r="D29" s="138">
        <f>IF('PROGRAM JADWAL GENAP'!E28="","",'PROGRAM JADWAL GENAP'!E28)</f>
        <v>0.71180555555555558</v>
      </c>
      <c r="E29" s="136" t="str">
        <f>IF('PROGRAM JADWAL GENAP'!H28="","",'PROGRAM JADWAL GENAP'!H28)</f>
        <v>INF-55201-212</v>
      </c>
      <c r="F29" s="137" t="str">
        <f>IF('PROGRAM JADWAL GENAP'!I28="","",'PROGRAM JADWAL GENAP'!I28)</f>
        <v>Analisis  dan  Perancangan  Sistem  </v>
      </c>
      <c r="G29" s="138" t="str">
        <f>IF('PROGRAM JADWAL GENAP'!M28="","",'PROGRAM JADWAL GENAP'!M28)</f>
        <v>C</v>
      </c>
      <c r="H29" s="139">
        <f>IF('PROGRAM JADWAL GENAP'!N28="","",'PROGRAM JADWAL GENAP'!N28)</f>
        <v>4</v>
      </c>
      <c r="I29" s="139">
        <f>IF('PROGRAM JADWAL GENAP'!O28="","",'PROGRAM JADWAL GENAP'!O28)</f>
        <v>3</v>
      </c>
      <c r="J29" s="139">
        <f>IF('PROGRAM JADWAL GENAP'!P28="","",'PROGRAM JADWAL GENAP'!P28)</f>
        <v>28</v>
      </c>
      <c r="K29" s="136" t="str">
        <f>IF('PROGRAM JADWAL GENAP'!S28="","",'PROGRAM JADWAL GENAP'!S28)</f>
        <v>Eva Faja Ripanti, S.Kom, MMSI, Ph.D / Niken Candraningrum, S.T., M.Cs.</v>
      </c>
      <c r="L29" s="228" t="str">
        <f>IF('PROGRAM JADWAL GENAP'!T28="","",'PROGRAM JADWAL GENAP'!T28)</f>
        <v/>
      </c>
    </row>
    <row r="30" spans="1:12" ht="40.049999999999997" customHeight="1" x14ac:dyDescent="0.3">
      <c r="A30" s="262"/>
      <c r="B30" s="138">
        <f>IF('PROGRAM JADWAL GENAP'!C29="","",'PROGRAM JADWAL GENAP'!C29)</f>
        <v>0.60763888888888895</v>
      </c>
      <c r="C30" s="138" t="str">
        <f>IF('PROGRAM JADWAL GENAP'!D29="","",'PROGRAM JADWAL GENAP'!D29)</f>
        <v>s/d</v>
      </c>
      <c r="D30" s="138">
        <f>IF('PROGRAM JADWAL GENAP'!E29="","",'PROGRAM JADWAL GENAP'!E29)</f>
        <v>0.71180555555555558</v>
      </c>
      <c r="E30" s="136" t="str">
        <f>IF('PROGRAM JADWAL GENAP'!H29="","",'PROGRAM JADWAL GENAP'!H29)</f>
        <v xml:space="preserve"> INF-55201-315</v>
      </c>
      <c r="F30" s="137" t="str">
        <f>IF('PROGRAM JADWAL GENAP'!I29="","",'PROGRAM JADWAL GENAP'!I29)</f>
        <v>MK Pilihan Wajib Multimedia &amp; SIG (SIG)</v>
      </c>
      <c r="G30" s="138" t="str">
        <f>IF('PROGRAM JADWAL GENAP'!M29="","",'PROGRAM JADWAL GENAP'!M29)</f>
        <v>A</v>
      </c>
      <c r="H30" s="139">
        <f>IF('PROGRAM JADWAL GENAP'!N29="","",'PROGRAM JADWAL GENAP'!N29)</f>
        <v>6</v>
      </c>
      <c r="I30" s="139">
        <f>IF('PROGRAM JADWAL GENAP'!O29="","",'PROGRAM JADWAL GENAP'!O29)</f>
        <v>3</v>
      </c>
      <c r="J30" s="139">
        <f>IF('PROGRAM JADWAL GENAP'!P29="","",'PROGRAM JADWAL GENAP'!P29)</f>
        <v>28</v>
      </c>
      <c r="K30" s="136" t="str">
        <f>IF('PROGRAM JADWAL GENAP'!S29="","",'PROGRAM JADWAL GENAP'!S29)</f>
        <v>Dr. Yus Sholva, S.T., M.T. / M.Azhar Irwansyah, S.T.,M.Eng.</v>
      </c>
      <c r="L30" s="228" t="str">
        <f>IF('PROGRAM JADWAL GENAP'!T29="","",'PROGRAM JADWAL GENAP'!T29)</f>
        <v/>
      </c>
    </row>
    <row r="31" spans="1:12" ht="40.049999999999997" customHeight="1" x14ac:dyDescent="0.3">
      <c r="A31" s="263"/>
      <c r="B31" s="138">
        <f>IF('PROGRAM JADWAL GENAP'!C30="","",'PROGRAM JADWAL GENAP'!C30)</f>
        <v>0.60763888888888895</v>
      </c>
      <c r="C31" s="138" t="str">
        <f>IF('PROGRAM JADWAL GENAP'!D30="","",'PROGRAM JADWAL GENAP'!D30)</f>
        <v>s/d</v>
      </c>
      <c r="D31" s="138">
        <f>IF('PROGRAM JADWAL GENAP'!E30="","",'PROGRAM JADWAL GENAP'!E30)</f>
        <v>0.71180555555555558</v>
      </c>
      <c r="E31" s="136" t="str">
        <f>IF('PROGRAM JADWAL GENAP'!H30="","",'PROGRAM JADWAL GENAP'!H30)</f>
        <v xml:space="preserve"> INF-55201-314</v>
      </c>
      <c r="F31" s="137" t="str">
        <f>IF('PROGRAM JADWAL GENAP'!I30="","",'PROGRAM JADWAL GENAP'!I30)</f>
        <v>MK Pilihan Wajib  Jaringan (Jaringan  Nirkabel  )</v>
      </c>
      <c r="G31" s="138" t="str">
        <f>IF('PROGRAM JADWAL GENAP'!M30="","",'PROGRAM JADWAL GENAP'!M30)</f>
        <v>C</v>
      </c>
      <c r="H31" s="139">
        <f>IF('PROGRAM JADWAL GENAP'!N30="","",'PROGRAM JADWAL GENAP'!N30)</f>
        <v>6</v>
      </c>
      <c r="I31" s="139">
        <f>IF('PROGRAM JADWAL GENAP'!O30="","",'PROGRAM JADWAL GENAP'!O30)</f>
        <v>3</v>
      </c>
      <c r="J31" s="139">
        <f>IF('PROGRAM JADWAL GENAP'!P30="","",'PROGRAM JADWAL GENAP'!P30)</f>
        <v>28</v>
      </c>
      <c r="K31" s="136" t="str">
        <f>IF('PROGRAM JADWAL GENAP'!S30="","",'PROGRAM JADWAL GENAP'!S30)</f>
        <v>Heri Priyanto,S.T., M.T.</v>
      </c>
      <c r="L31" s="228" t="str">
        <f>IF('PROGRAM JADWAL GENAP'!T30="","",'PROGRAM JADWAL GENAP'!T30)</f>
        <v/>
      </c>
    </row>
    <row r="32" spans="1:12" ht="40.049999999999997" customHeight="1" x14ac:dyDescent="0.3">
      <c r="A32" s="254" t="str">
        <f>IF('PROGRAM JADWAL GENAP'!B31="","",'PROGRAM JADWAL GENAP'!B31)</f>
        <v/>
      </c>
      <c r="B32" s="138" t="str">
        <f>IF('PROGRAM JADWAL GENAP'!C31="","",'PROGRAM JADWAL GENAP'!C31)</f>
        <v/>
      </c>
      <c r="C32" s="138" t="str">
        <f>IF('PROGRAM JADWAL GENAP'!D31="","",'PROGRAM JADWAL GENAP'!D31)</f>
        <v/>
      </c>
      <c r="D32" s="138" t="str">
        <f>IF('PROGRAM JADWAL GENAP'!E31="","",'PROGRAM JADWAL GENAP'!E31)</f>
        <v/>
      </c>
      <c r="E32" s="136" t="str">
        <f>IF('PROGRAM JADWAL GENAP'!H31="","",'PROGRAM JADWAL GENAP'!H31)</f>
        <v/>
      </c>
      <c r="F32" s="137" t="str">
        <f>IF('PROGRAM JADWAL GENAP'!I31="","",'PROGRAM JADWAL GENAP'!I31)</f>
        <v/>
      </c>
      <c r="G32" s="138" t="str">
        <f>IF('PROGRAM JADWAL GENAP'!M31="","",'PROGRAM JADWAL GENAP'!M31)</f>
        <v/>
      </c>
      <c r="H32" s="139" t="str">
        <f>IF('PROGRAM JADWAL GENAP'!N31="","",'PROGRAM JADWAL GENAP'!N31)</f>
        <v/>
      </c>
      <c r="I32" s="139" t="str">
        <f>IF('PROGRAM JADWAL GENAP'!O31="","",'PROGRAM JADWAL GENAP'!O31)</f>
        <v/>
      </c>
      <c r="J32" s="139" t="str">
        <f>IF('PROGRAM JADWAL GENAP'!P31="","",'PROGRAM JADWAL GENAP'!P31)</f>
        <v/>
      </c>
      <c r="K32" s="136" t="str">
        <f>IF('PROGRAM JADWAL GENAP'!S31="","",'PROGRAM JADWAL GENAP'!S31)</f>
        <v/>
      </c>
      <c r="L32" s="228" t="str">
        <f>IF('PROGRAM JADWAL GENAP'!T31="","",'PROGRAM JADWAL GENAP'!T31)</f>
        <v/>
      </c>
    </row>
    <row r="33" spans="1:12" ht="40.049999999999997" customHeight="1" x14ac:dyDescent="0.3">
      <c r="A33" s="254" t="str">
        <f>IF('PROGRAM JADWAL GENAP'!B32="","",'PROGRAM JADWAL GENAP'!B32)</f>
        <v/>
      </c>
      <c r="B33" s="138" t="str">
        <f>IF('PROGRAM JADWAL GENAP'!C32="","",'PROGRAM JADWAL GENAP'!C32)</f>
        <v/>
      </c>
      <c r="C33" s="138" t="str">
        <f>IF('PROGRAM JADWAL GENAP'!D32="","",'PROGRAM JADWAL GENAP'!D32)</f>
        <v/>
      </c>
      <c r="D33" s="138" t="str">
        <f>IF('PROGRAM JADWAL GENAP'!E32="","",'PROGRAM JADWAL GENAP'!E32)</f>
        <v/>
      </c>
      <c r="E33" s="136" t="str">
        <f>IF('PROGRAM JADWAL GENAP'!H32="","",'PROGRAM JADWAL GENAP'!H32)</f>
        <v/>
      </c>
      <c r="F33" s="137" t="str">
        <f>IF('PROGRAM JADWAL GENAP'!I32="","",'PROGRAM JADWAL GENAP'!I32)</f>
        <v/>
      </c>
      <c r="G33" s="138" t="str">
        <f>IF('PROGRAM JADWAL GENAP'!M32="","",'PROGRAM JADWAL GENAP'!M32)</f>
        <v/>
      </c>
      <c r="H33" s="139" t="str">
        <f>IF('PROGRAM JADWAL GENAP'!N32="","",'PROGRAM JADWAL GENAP'!N32)</f>
        <v/>
      </c>
      <c r="I33" s="139" t="str">
        <f>IF('PROGRAM JADWAL GENAP'!O32="","",'PROGRAM JADWAL GENAP'!O32)</f>
        <v/>
      </c>
      <c r="J33" s="139" t="str">
        <f>IF('PROGRAM JADWAL GENAP'!P32="","",'PROGRAM JADWAL GENAP'!P32)</f>
        <v/>
      </c>
      <c r="K33" s="136" t="str">
        <f>IF('PROGRAM JADWAL GENAP'!S32="","",'PROGRAM JADWAL GENAP'!S32)</f>
        <v/>
      </c>
      <c r="L33" s="228" t="str">
        <f>IF('PROGRAM JADWAL GENAP'!T32="","",'PROGRAM JADWAL GENAP'!T32)</f>
        <v/>
      </c>
    </row>
    <row r="34" spans="1:12" ht="40.049999999999997" customHeight="1" x14ac:dyDescent="0.3">
      <c r="A34" s="261" t="str">
        <f>IF('PROGRAM JADWAL GENAP'!B33="","",'PROGRAM JADWAL GENAP'!B33)</f>
        <v>Selasa</v>
      </c>
      <c r="B34" s="138">
        <f>IF('PROGRAM JADWAL GENAP'!C33="","",'PROGRAM JADWAL GENAP'!C33)</f>
        <v>1.3125</v>
      </c>
      <c r="C34" s="138" t="str">
        <f>IF('PROGRAM JADWAL GENAP'!D33="","",'PROGRAM JADWAL GENAP'!D33)</f>
        <v>s/d</v>
      </c>
      <c r="D34" s="138">
        <f>IF('PROGRAM JADWAL GENAP'!E33="","",'PROGRAM JADWAL GENAP'!E33)</f>
        <v>1.4166666666666667</v>
      </c>
      <c r="E34" s="136" t="str">
        <f>IF('PROGRAM JADWAL GENAP'!H33="","",'PROGRAM JADWAL GENAP'!H33)</f>
        <v>INF-55201-108</v>
      </c>
      <c r="F34" s="137" t="str">
        <f>IF('PROGRAM JADWAL GENAP'!I33="","",'PROGRAM JADWAL GENAP'!I33)</f>
        <v>Dasar rekayasa perangkat lunak</v>
      </c>
      <c r="G34" s="138" t="str">
        <f>IF('PROGRAM JADWAL GENAP'!M33="","",'PROGRAM JADWAL GENAP'!M33)</f>
        <v>D</v>
      </c>
      <c r="H34" s="139">
        <f>IF('PROGRAM JADWAL GENAP'!N33="","",'PROGRAM JADWAL GENAP'!N33)</f>
        <v>2</v>
      </c>
      <c r="I34" s="139">
        <f>IF('PROGRAM JADWAL GENAP'!O33="","",'PROGRAM JADWAL GENAP'!O33)</f>
        <v>3</v>
      </c>
      <c r="J34" s="139">
        <f>IF('PROGRAM JADWAL GENAP'!P33="","",'PROGRAM JADWAL GENAP'!P33)</f>
        <v>28</v>
      </c>
      <c r="K34" s="136" t="str">
        <f>IF('PROGRAM JADWAL GENAP'!S33="","",'PROGRAM JADWAL GENAP'!S33)</f>
        <v>Anggi Perwitasari, S.T., M.T. / Desepta Isna Ulumi, S.Kom, M.Kom.</v>
      </c>
      <c r="L34" s="228" t="str">
        <f>IF('PROGRAM JADWAL GENAP'!T33="","",'PROGRAM JADWAL GENAP'!T33)</f>
        <v/>
      </c>
    </row>
    <row r="35" spans="1:12" ht="40.049999999999997" customHeight="1" x14ac:dyDescent="0.3">
      <c r="A35" s="262"/>
      <c r="B35" s="138">
        <f>IF('PROGRAM JADWAL GENAP'!C34="","",'PROGRAM JADWAL GENAP'!C34)</f>
        <v>1.3125</v>
      </c>
      <c r="C35" s="138" t="str">
        <f>IF('PROGRAM JADWAL GENAP'!D34="","",'PROGRAM JADWAL GENAP'!D34)</f>
        <v>s/d</v>
      </c>
      <c r="D35" s="138">
        <f>IF('PROGRAM JADWAL GENAP'!E34="","",'PROGRAM JADWAL GENAP'!E34)</f>
        <v>1.4166666666666667</v>
      </c>
      <c r="E35" s="136" t="str">
        <f>IF('PROGRAM JADWAL GENAP'!H34="","",'PROGRAM JADWAL GENAP'!H34)</f>
        <v>INF-55201-106</v>
      </c>
      <c r="F35" s="137" t="str">
        <f>IF('PROGRAM JADWAL GENAP'!I34="","",'PROGRAM JADWAL GENAP'!I34)</f>
        <v>Matematika  Dasar II</v>
      </c>
      <c r="G35" s="138" t="str">
        <f>IF('PROGRAM JADWAL GENAP'!M34="","",'PROGRAM JADWAL GENAP'!M34)</f>
        <v>C</v>
      </c>
      <c r="H35" s="139">
        <f>IF('PROGRAM JADWAL GENAP'!N34="","",'PROGRAM JADWAL GENAP'!N34)</f>
        <v>2</v>
      </c>
      <c r="I35" s="139">
        <f>IF('PROGRAM JADWAL GENAP'!O34="","",'PROGRAM JADWAL GENAP'!O34)</f>
        <v>3</v>
      </c>
      <c r="J35" s="139">
        <f>IF('PROGRAM JADWAL GENAP'!P34="","",'PROGRAM JADWAL GENAP'!P34)</f>
        <v>28</v>
      </c>
      <c r="K35" s="136" t="str">
        <f>IF('PROGRAM JADWAL GENAP'!S34="","",'PROGRAM JADWAL GENAP'!S34)</f>
        <v>Anggi Srimurdianti, S.T., M.T. / Rina Septiriana, S.T., M.Cs.</v>
      </c>
      <c r="L35" s="228" t="str">
        <f>IF('PROGRAM JADWAL GENAP'!T34="","",'PROGRAM JADWAL GENAP'!T34)</f>
        <v/>
      </c>
    </row>
    <row r="36" spans="1:12" ht="40.049999999999997" customHeight="1" x14ac:dyDescent="0.3">
      <c r="A36" s="262"/>
      <c r="B36" s="138">
        <f>IF('PROGRAM JADWAL GENAP'!C35="","",'PROGRAM JADWAL GENAP'!C35)</f>
        <v>1.3125</v>
      </c>
      <c r="C36" s="138" t="str">
        <f>IF('PROGRAM JADWAL GENAP'!D35="","",'PROGRAM JADWAL GENAP'!D35)</f>
        <v>s/d</v>
      </c>
      <c r="D36" s="138">
        <f>IF('PROGRAM JADWAL GENAP'!E35="","",'PROGRAM JADWAL GENAP'!E35)</f>
        <v>1.4166666666666667</v>
      </c>
      <c r="E36" s="136" t="str">
        <f>IF('PROGRAM JADWAL GENAP'!H35="","",'PROGRAM JADWAL GENAP'!H35)</f>
        <v>INF-55201-214</v>
      </c>
      <c r="F36" s="137" t="str">
        <f>IF('PROGRAM JADWAL GENAP'!I35="","",'PROGRAM JADWAL GENAP'!I35)</f>
        <v>Sistem Pendukung Keputusan</v>
      </c>
      <c r="G36" s="138" t="str">
        <f>IF('PROGRAM JADWAL GENAP'!M35="","",'PROGRAM JADWAL GENAP'!M35)</f>
        <v>B</v>
      </c>
      <c r="H36" s="139">
        <f>IF('PROGRAM JADWAL GENAP'!N35="","",'PROGRAM JADWAL GENAP'!N35)</f>
        <v>4</v>
      </c>
      <c r="I36" s="139">
        <f>IF('PROGRAM JADWAL GENAP'!O35="","",'PROGRAM JADWAL GENAP'!O35)</f>
        <v>3</v>
      </c>
      <c r="J36" s="139">
        <f>IF('PROGRAM JADWAL GENAP'!P35="","",'PROGRAM JADWAL GENAP'!P35)</f>
        <v>28</v>
      </c>
      <c r="K36" s="136" t="str">
        <f>IF('PROGRAM JADWAL GENAP'!S35="","",'PROGRAM JADWAL GENAP'!S35)</f>
        <v>Tursina ST, M.Cs</v>
      </c>
      <c r="L36" s="228" t="str">
        <f>IF('PROGRAM JADWAL GENAP'!T35="","",'PROGRAM JADWAL GENAP'!T35)</f>
        <v/>
      </c>
    </row>
    <row r="37" spans="1:12" ht="40.049999999999997" customHeight="1" x14ac:dyDescent="0.3">
      <c r="A37" s="262"/>
      <c r="B37" s="138">
        <f>IF('PROGRAM JADWAL GENAP'!C36="","",'PROGRAM JADWAL GENAP'!C36)</f>
        <v>1.3125</v>
      </c>
      <c r="C37" s="138" t="str">
        <f>IF('PROGRAM JADWAL GENAP'!D36="","",'PROGRAM JADWAL GENAP'!D36)</f>
        <v>s/d</v>
      </c>
      <c r="D37" s="138">
        <f>IF('PROGRAM JADWAL GENAP'!E36="","",'PROGRAM JADWAL GENAP'!E36)</f>
        <v>1.3819444444444444</v>
      </c>
      <c r="E37" s="136" t="str">
        <f>IF('PROGRAM JADWAL GENAP'!H36="","",'PROGRAM JADWAL GENAP'!H36)</f>
        <v>INF-55201-209</v>
      </c>
      <c r="F37" s="137" t="str">
        <f>IF('PROGRAM JADWAL GENAP'!I36="","",'PROGRAM JADWAL GENAP'!I36)</f>
        <v>Otomata</v>
      </c>
      <c r="G37" s="138" t="str">
        <f>IF('PROGRAM JADWAL GENAP'!M36="","",'PROGRAM JADWAL GENAP'!M36)</f>
        <v>A</v>
      </c>
      <c r="H37" s="139">
        <f>IF('PROGRAM JADWAL GENAP'!N36="","",'PROGRAM JADWAL GENAP'!N36)</f>
        <v>4</v>
      </c>
      <c r="I37" s="139">
        <f>IF('PROGRAM JADWAL GENAP'!O36="","",'PROGRAM JADWAL GENAP'!O36)</f>
        <v>2</v>
      </c>
      <c r="J37" s="139">
        <f>IF('PROGRAM JADWAL GENAP'!P36="","",'PROGRAM JADWAL GENAP'!P36)</f>
        <v>28</v>
      </c>
      <c r="K37" s="136" t="str">
        <f>IF('PROGRAM JADWAL GENAP'!S36="","",'PROGRAM JADWAL GENAP'!S36)</f>
        <v>Novi Safriadi, S.T., M.T. / Khairul Hafidh, S.T., M.Kom.</v>
      </c>
      <c r="L37" s="228" t="str">
        <f>IF('PROGRAM JADWAL GENAP'!T36="","",'PROGRAM JADWAL GENAP'!T36)</f>
        <v/>
      </c>
    </row>
    <row r="38" spans="1:12" ht="40.049999999999997" customHeight="1" x14ac:dyDescent="0.3">
      <c r="A38" s="262"/>
      <c r="B38" s="138">
        <f>IF('PROGRAM JADWAL GENAP'!C37="","",'PROGRAM JADWAL GENAP'!C37)</f>
        <v>1.3125</v>
      </c>
      <c r="C38" s="138" t="str">
        <f>IF('PROGRAM JADWAL GENAP'!D37="","",'PROGRAM JADWAL GENAP'!D37)</f>
        <v>s/d</v>
      </c>
      <c r="D38" s="138">
        <f>IF('PROGRAM JADWAL GENAP'!E37="","",'PROGRAM JADWAL GENAP'!E37)</f>
        <v>1.4166666666666667</v>
      </c>
      <c r="E38" s="136" t="str">
        <f>IF('PROGRAM JADWAL GENAP'!H37="","",'PROGRAM JADWAL GENAP'!H37)</f>
        <v xml:space="preserve"> INF-55201-309</v>
      </c>
      <c r="F38" s="137" t="str">
        <f>IF('PROGRAM JADWAL GENAP'!I37="","",'PROGRAM JADWAL GENAP'!I37)</f>
        <v>Keamanan  Informasi  dan  Jaringan*</v>
      </c>
      <c r="G38" s="138" t="str">
        <f>IF('PROGRAM JADWAL GENAP'!M37="","",'PROGRAM JADWAL GENAP'!M37)</f>
        <v>C</v>
      </c>
      <c r="H38" s="139">
        <f>IF('PROGRAM JADWAL GENAP'!N37="","",'PROGRAM JADWAL GENAP'!N37)</f>
        <v>6</v>
      </c>
      <c r="I38" s="139">
        <f>IF('PROGRAM JADWAL GENAP'!O37="","",'PROGRAM JADWAL GENAP'!O37)</f>
        <v>3</v>
      </c>
      <c r="J38" s="139">
        <f>IF('PROGRAM JADWAL GENAP'!P37="","",'PROGRAM JADWAL GENAP'!P37)</f>
        <v>28</v>
      </c>
      <c r="K38" s="136" t="str">
        <f>IF('PROGRAM JADWAL GENAP'!S37="","",'PROGRAM JADWAL GENAP'!S37)</f>
        <v>M.Azhar Irwansyah, S.T.,M.Eng. / Alfian Abdul Jalid, S.Kom., M.Cs.</v>
      </c>
      <c r="L38" s="228" t="str">
        <f>IF('PROGRAM JADWAL GENAP'!T37="","",'PROGRAM JADWAL GENAP'!T37)</f>
        <v/>
      </c>
    </row>
    <row r="39" spans="1:12" ht="40.049999999999997" customHeight="1" x14ac:dyDescent="0.3">
      <c r="A39" s="262"/>
      <c r="B39" s="138">
        <f>IF('PROGRAM JADWAL GENAP'!C38="","",'PROGRAM JADWAL GENAP'!C38)</f>
        <v>0.3125</v>
      </c>
      <c r="C39" s="138" t="str">
        <f>IF('PROGRAM JADWAL GENAP'!D38="","",'PROGRAM JADWAL GENAP'!D38)</f>
        <v>s/d</v>
      </c>
      <c r="D39" s="138">
        <f>IF('PROGRAM JADWAL GENAP'!E38="","",'PROGRAM JADWAL GENAP'!E38)</f>
        <v>0.41666666666666669</v>
      </c>
      <c r="E39" s="136" t="str">
        <f>IF('PROGRAM JADWAL GENAP'!H38="","",'PROGRAM JADWAL GENAP'!H38)</f>
        <v xml:space="preserve"> INF-55201-313</v>
      </c>
      <c r="F39" s="137" t="str">
        <f>IF('PROGRAM JADWAL GENAP'!I38="","",'PROGRAM JADWAL GENAP'!I38)</f>
        <v>MK Pilihan Wajib Komputasi (PBA)</v>
      </c>
      <c r="G39" s="138" t="str">
        <f>IF('PROGRAM JADWAL GENAP'!M38="","",'PROGRAM JADWAL GENAP'!M38)</f>
        <v>D</v>
      </c>
      <c r="H39" s="139">
        <f>IF('PROGRAM JADWAL GENAP'!N38="","",'PROGRAM JADWAL GENAP'!N38)</f>
        <v>6</v>
      </c>
      <c r="I39" s="139">
        <f>IF('PROGRAM JADWAL GENAP'!O38="","",'PROGRAM JADWAL GENAP'!O38)</f>
        <v>3</v>
      </c>
      <c r="J39" s="139">
        <f>IF('PROGRAM JADWAL GENAP'!P38="","",'PROGRAM JADWAL GENAP'!P38)</f>
        <v>28</v>
      </c>
      <c r="K39" s="136" t="str">
        <f>IF('PROGRAM JADWAL GENAP'!S38="","",'PROGRAM JADWAL GENAP'!S38)</f>
        <v>Dr. Arif BPN, S.T., M.T. / Dr. Herry Sujaini, S.T., M.T.</v>
      </c>
      <c r="L39" s="228" t="str">
        <f>IF('PROGRAM JADWAL GENAP'!T38="","",'PROGRAM JADWAL GENAP'!T38)</f>
        <v/>
      </c>
    </row>
    <row r="40" spans="1:12" ht="40.049999999999997" customHeight="1" x14ac:dyDescent="0.3">
      <c r="A40" s="262"/>
      <c r="B40" s="138">
        <f>IF('PROGRAM JADWAL GENAP'!C39="","",'PROGRAM JADWAL GENAP'!C39)</f>
        <v>0.3125</v>
      </c>
      <c r="C40" s="138" t="str">
        <f>IF('PROGRAM JADWAL GENAP'!D39="","",'PROGRAM JADWAL GENAP'!D39)</f>
        <v>s/d</v>
      </c>
      <c r="D40" s="138">
        <f>IF('PROGRAM JADWAL GENAP'!E39="","",'PROGRAM JADWAL GENAP'!E39)</f>
        <v>0.41666666666666669</v>
      </c>
      <c r="E40" s="136" t="str">
        <f>IF('PROGRAM JADWAL GENAP'!H39="","",'PROGRAM JADWAL GENAP'!H39)</f>
        <v>INF­55201­516</v>
      </c>
      <c r="F40" s="137" t="str">
        <f>IF('PROGRAM JADWAL GENAP'!I39="","",'PROGRAM JADWAL GENAP'!I39)</f>
        <v xml:space="preserve">Data  Mining  </v>
      </c>
      <c r="G40" s="138" t="str">
        <f>IF('PROGRAM JADWAL GENAP'!M39="","",'PROGRAM JADWAL GENAP'!M39)</f>
        <v>B</v>
      </c>
      <c r="H40" s="139">
        <f>IF('PROGRAM JADWAL GENAP'!N39="","",'PROGRAM JADWAL GENAP'!N39)</f>
        <v>6</v>
      </c>
      <c r="I40" s="139">
        <f>IF('PROGRAM JADWAL GENAP'!O39="","",'PROGRAM JADWAL GENAP'!O39)</f>
        <v>3</v>
      </c>
      <c r="J40" s="139">
        <f>IF('PROGRAM JADWAL GENAP'!P39="","",'PROGRAM JADWAL GENAP'!P39)</f>
        <v>28</v>
      </c>
      <c r="K40" s="136" t="str">
        <f>IF('PROGRAM JADWAL GENAP'!S39="","",'PROGRAM JADWAL GENAP'!S39)</f>
        <v>Enda Esyudha Pratama, S.T., M.T.</v>
      </c>
      <c r="L40" s="228" t="str">
        <f>IF('PROGRAM JADWAL GENAP'!T39="","",'PROGRAM JADWAL GENAP'!T39)</f>
        <v/>
      </c>
    </row>
    <row r="41" spans="1:12" ht="40.049999999999997" customHeight="1" x14ac:dyDescent="0.3">
      <c r="A41" s="262"/>
      <c r="B41" s="138" t="str">
        <f>IF('PROGRAM JADWAL GENAP'!C40="","",'PROGRAM JADWAL GENAP'!C40)</f>
        <v/>
      </c>
      <c r="C41" s="138" t="str">
        <f>IF('PROGRAM JADWAL GENAP'!D40="","",'PROGRAM JADWAL GENAP'!D40)</f>
        <v/>
      </c>
      <c r="D41" s="138" t="str">
        <f>IF('PROGRAM JADWAL GENAP'!E40="","",'PROGRAM JADWAL GENAP'!E40)</f>
        <v/>
      </c>
      <c r="E41" s="136" t="str">
        <f>IF('PROGRAM JADWAL GENAP'!H40="","",'PROGRAM JADWAL GENAP'!H40)</f>
        <v/>
      </c>
      <c r="F41" s="137" t="str">
        <f>IF('PROGRAM JADWAL GENAP'!I40="","",'PROGRAM JADWAL GENAP'!I40)</f>
        <v/>
      </c>
      <c r="G41" s="138" t="str">
        <f>IF('PROGRAM JADWAL GENAP'!M40="","",'PROGRAM JADWAL GENAP'!M40)</f>
        <v/>
      </c>
      <c r="H41" s="139" t="str">
        <f>IF('PROGRAM JADWAL GENAP'!N40="","",'PROGRAM JADWAL GENAP'!N40)</f>
        <v/>
      </c>
      <c r="I41" s="139" t="str">
        <f>IF('PROGRAM JADWAL GENAP'!O40="","",'PROGRAM JADWAL GENAP'!O40)</f>
        <v/>
      </c>
      <c r="J41" s="139" t="str">
        <f>IF('PROGRAM JADWAL GENAP'!P40="","",'PROGRAM JADWAL GENAP'!P40)</f>
        <v/>
      </c>
      <c r="K41" s="136" t="str">
        <f>IF('PROGRAM JADWAL GENAP'!S40="","",'PROGRAM JADWAL GENAP'!S40)</f>
        <v/>
      </c>
      <c r="L41" s="228" t="str">
        <f>IF('PROGRAM JADWAL GENAP'!T40="","",'PROGRAM JADWAL GENAP'!T40)</f>
        <v/>
      </c>
    </row>
    <row r="42" spans="1:12" ht="40.049999999999997" customHeight="1" x14ac:dyDescent="0.3">
      <c r="A42" s="262"/>
      <c r="B42" s="138">
        <f>IF('PROGRAM JADWAL GENAP'!C41="","",'PROGRAM JADWAL GENAP'!C41)</f>
        <v>0.4236111111111111</v>
      </c>
      <c r="C42" s="138" t="str">
        <f>IF('PROGRAM JADWAL GENAP'!D41="","",'PROGRAM JADWAL GENAP'!D41)</f>
        <v>s/d</v>
      </c>
      <c r="D42" s="138">
        <f>IF('PROGRAM JADWAL GENAP'!E41="","",'PROGRAM JADWAL GENAP'!E41)</f>
        <v>0.49305555555555558</v>
      </c>
      <c r="E42" s="136" t="str">
        <f>IF('PROGRAM JADWAL GENAP'!H41="","",'PROGRAM JADWAL GENAP'!H41)</f>
        <v>INF-55201-109</v>
      </c>
      <c r="F42" s="137" t="str">
        <f>IF('PROGRAM JADWAL GENAP'!I41="","",'PROGRAM JADWAL GENAP'!I41)</f>
        <v>Struktur  Data  dan Algoritma*</v>
      </c>
      <c r="G42" s="138" t="str">
        <f>IF('PROGRAM JADWAL GENAP'!M41="","",'PROGRAM JADWAL GENAP'!M41)</f>
        <v>C</v>
      </c>
      <c r="H42" s="139">
        <f>IF('PROGRAM JADWAL GENAP'!N41="","",'PROGRAM JADWAL GENAP'!N41)</f>
        <v>2</v>
      </c>
      <c r="I42" s="139">
        <f>IF('PROGRAM JADWAL GENAP'!O41="","",'PROGRAM JADWAL GENAP'!O41)</f>
        <v>4</v>
      </c>
      <c r="J42" s="139">
        <f>IF('PROGRAM JADWAL GENAP'!P41="","",'PROGRAM JADWAL GENAP'!P41)</f>
        <v>35</v>
      </c>
      <c r="K42" s="136" t="str">
        <f>IF('PROGRAM JADWAL GENAP'!S41="","",'PROGRAM JADWAL GENAP'!S41)</f>
        <v>Morteza Muthahhari, S.Kom., M.T.I / Fauzan Asrin, S.Kom, M. Kom.</v>
      </c>
      <c r="L42" s="228" t="str">
        <f>IF('PROGRAM JADWAL GENAP'!T41="","",'PROGRAM JADWAL GENAP'!T41)</f>
        <v/>
      </c>
    </row>
    <row r="43" spans="1:12" ht="40.049999999999997" customHeight="1" x14ac:dyDescent="0.3">
      <c r="A43" s="262"/>
      <c r="B43" s="138">
        <f>IF('PROGRAM JADWAL GENAP'!C42="","",'PROGRAM JADWAL GENAP'!C42)</f>
        <v>0.4236111111111111</v>
      </c>
      <c r="C43" s="138" t="str">
        <f>IF('PROGRAM JADWAL GENAP'!D42="","",'PROGRAM JADWAL GENAP'!D42)</f>
        <v>s/d</v>
      </c>
      <c r="D43" s="138">
        <f>IF('PROGRAM JADWAL GENAP'!E42="","",'PROGRAM JADWAL GENAP'!E42)</f>
        <v>0.49305555555555558</v>
      </c>
      <c r="E43" s="136" t="str">
        <f>IF('PROGRAM JADWAL GENAP'!H42="","",'PROGRAM JADWAL GENAP'!H42)</f>
        <v>INF-55201-208</v>
      </c>
      <c r="F43" s="137" t="str">
        <f>IF('PROGRAM JADWAL GENAP'!I42="","",'PROGRAM JADWAL GENAP'!I42)</f>
        <v>Manajemen Basis Data*</v>
      </c>
      <c r="G43" s="138" t="str">
        <f>IF('PROGRAM JADWAL GENAP'!M42="","",'PROGRAM JADWAL GENAP'!M42)</f>
        <v>A</v>
      </c>
      <c r="H43" s="139">
        <f>IF('PROGRAM JADWAL GENAP'!N42="","",'PROGRAM JADWAL GENAP'!N42)</f>
        <v>4</v>
      </c>
      <c r="I43" s="139">
        <f>IF('PROGRAM JADWAL GENAP'!O42="","",'PROGRAM JADWAL GENAP'!O42)</f>
        <v>4</v>
      </c>
      <c r="J43" s="139">
        <f>IF('PROGRAM JADWAL GENAP'!P42="","",'PROGRAM JADWAL GENAP'!P42)</f>
        <v>35</v>
      </c>
      <c r="K43" s="136" t="str">
        <f>IF('PROGRAM JADWAL GENAP'!S42="","",'PROGRAM JADWAL GENAP'!S42)</f>
        <v>Helen Sastypratiwi, S.T., M.Eng / Haried Novriando, S.Kom, M.Eng</v>
      </c>
      <c r="L43" s="228" t="str">
        <f>IF('PROGRAM JADWAL GENAP'!T42="","",'PROGRAM JADWAL GENAP'!T42)</f>
        <v/>
      </c>
    </row>
    <row r="44" spans="1:12" ht="40.049999999999997" customHeight="1" x14ac:dyDescent="0.3">
      <c r="A44" s="262"/>
      <c r="B44" s="138">
        <f>IF('PROGRAM JADWAL GENAP'!C43="","",'PROGRAM JADWAL GENAP'!C43)</f>
        <v>0.4236111111111111</v>
      </c>
      <c r="C44" s="138" t="str">
        <f>IF('PROGRAM JADWAL GENAP'!D43="","",'PROGRAM JADWAL GENAP'!D43)</f>
        <v>s/d</v>
      </c>
      <c r="D44" s="138">
        <f>IF('PROGRAM JADWAL GENAP'!E43="","",'PROGRAM JADWAL GENAP'!E43)</f>
        <v>0.49305555555555558</v>
      </c>
      <c r="E44" s="136" t="str">
        <f>IF('PROGRAM JADWAL GENAP'!H43="","",'PROGRAM JADWAL GENAP'!H43)</f>
        <v>INF-55201-211</v>
      </c>
      <c r="F44" s="137" t="str">
        <f>IF('PROGRAM JADWAL GENAP'!I43="","",'PROGRAM JADWAL GENAP'!I43)</f>
        <v>Pemrograman  Berorientasi  Objek * </v>
      </c>
      <c r="G44" s="138" t="str">
        <f>IF('PROGRAM JADWAL GENAP'!M43="","",'PROGRAM JADWAL GENAP'!M43)</f>
        <v>C</v>
      </c>
      <c r="H44" s="139">
        <f>IF('PROGRAM JADWAL GENAP'!N43="","",'PROGRAM JADWAL GENAP'!N43)</f>
        <v>4</v>
      </c>
      <c r="I44" s="139">
        <f>IF('PROGRAM JADWAL GENAP'!O43="","",'PROGRAM JADWAL GENAP'!O43)</f>
        <v>4</v>
      </c>
      <c r="J44" s="139">
        <f>IF('PROGRAM JADWAL GENAP'!P43="","",'PROGRAM JADWAL GENAP'!P43)</f>
        <v>35</v>
      </c>
      <c r="K44" s="136" t="str">
        <f>IF('PROGRAM JADWAL GENAP'!S43="","",'PROGRAM JADWAL GENAP'!S43)</f>
        <v>Novi Safriadi, S.T., M.T. / Khairul Hafidh, S.T., M.Kom.</v>
      </c>
      <c r="L44" s="228" t="str">
        <f>IF('PROGRAM JADWAL GENAP'!T43="","",'PROGRAM JADWAL GENAP'!T43)</f>
        <v/>
      </c>
    </row>
    <row r="45" spans="1:12" ht="40.049999999999997" customHeight="1" x14ac:dyDescent="0.3">
      <c r="A45" s="262"/>
      <c r="B45" s="138">
        <f>IF('PROGRAM JADWAL GENAP'!C44="","",'PROGRAM JADWAL GENAP'!C44)</f>
        <v>0.4236111111111111</v>
      </c>
      <c r="C45" s="138" t="str">
        <f>IF('PROGRAM JADWAL GENAP'!D44="","",'PROGRAM JADWAL GENAP'!D44)</f>
        <v>s/d</v>
      </c>
      <c r="D45" s="138">
        <f>IF('PROGRAM JADWAL GENAP'!E44="","",'PROGRAM JADWAL GENAP'!E44)</f>
        <v>0.49305555555555558</v>
      </c>
      <c r="E45" s="136" t="str">
        <f>IF('PROGRAM JADWAL GENAP'!H44="","",'PROGRAM JADWAL GENAP'!H44)</f>
        <v xml:space="preserve"> INF-55201-316</v>
      </c>
      <c r="F45" s="137" t="str">
        <f>IF('PROGRAM JADWAL GENAP'!I44="","",'PROGRAM JADWAL GENAP'!I44)</f>
        <v>Proyek Perangkat  Lunak*</v>
      </c>
      <c r="G45" s="138" t="str">
        <f>IF('PROGRAM JADWAL GENAP'!M44="","",'PROGRAM JADWAL GENAP'!M44)</f>
        <v>A</v>
      </c>
      <c r="H45" s="139">
        <f>IF('PROGRAM JADWAL GENAP'!N44="","",'PROGRAM JADWAL GENAP'!N44)</f>
        <v>6</v>
      </c>
      <c r="I45" s="139">
        <f>IF('PROGRAM JADWAL GENAP'!O44="","",'PROGRAM JADWAL GENAP'!O44)</f>
        <v>4</v>
      </c>
      <c r="J45" s="139">
        <f>IF('PROGRAM JADWAL GENAP'!P44="","",'PROGRAM JADWAL GENAP'!P44)</f>
        <v>35</v>
      </c>
      <c r="K45" s="136" t="str">
        <f>IF('PROGRAM JADWAL GENAP'!S44="","",'PROGRAM JADWAL GENAP'!S44)</f>
        <v>Anggi Perwitasari, S.T., M.T. / Desepta Isna Ulumi, S.Kom, M.Kom.</v>
      </c>
      <c r="L45" s="228" t="str">
        <f>IF('PROGRAM JADWAL GENAP'!T44="","",'PROGRAM JADWAL GENAP'!T44)</f>
        <v/>
      </c>
    </row>
    <row r="46" spans="1:12" ht="40.049999999999997" customHeight="1" x14ac:dyDescent="0.3">
      <c r="A46" s="262"/>
      <c r="B46" s="138" t="str">
        <f>IF('PROGRAM JADWAL GENAP'!C45="","",'PROGRAM JADWAL GENAP'!C45)</f>
        <v/>
      </c>
      <c r="C46" s="138" t="str">
        <f>IF('PROGRAM JADWAL GENAP'!D45="","",'PROGRAM JADWAL GENAP'!D45)</f>
        <v/>
      </c>
      <c r="D46" s="138" t="str">
        <f>IF('PROGRAM JADWAL GENAP'!E45="","",'PROGRAM JADWAL GENAP'!E45)</f>
        <v/>
      </c>
      <c r="E46" s="136" t="str">
        <f>IF('PROGRAM JADWAL GENAP'!H45="","",'PROGRAM JADWAL GENAP'!H45)</f>
        <v/>
      </c>
      <c r="F46" s="137" t="str">
        <f>IF('PROGRAM JADWAL GENAP'!I45="","",'PROGRAM JADWAL GENAP'!I45)</f>
        <v/>
      </c>
      <c r="G46" s="138" t="str">
        <f>IF('PROGRAM JADWAL GENAP'!M45="","",'PROGRAM JADWAL GENAP'!M45)</f>
        <v/>
      </c>
      <c r="H46" s="139" t="str">
        <f>IF('PROGRAM JADWAL GENAP'!N45="","",'PROGRAM JADWAL GENAP'!N45)</f>
        <v/>
      </c>
      <c r="I46" s="139" t="str">
        <f>IF('PROGRAM JADWAL GENAP'!O45="","",'PROGRAM JADWAL GENAP'!O45)</f>
        <v/>
      </c>
      <c r="J46" s="139" t="str">
        <f>IF('PROGRAM JADWAL GENAP'!P45="","",'PROGRAM JADWAL GENAP'!P45)</f>
        <v/>
      </c>
      <c r="K46" s="136" t="str">
        <f>IF('PROGRAM JADWAL GENAP'!S45="","",'PROGRAM JADWAL GENAP'!S45)</f>
        <v/>
      </c>
      <c r="L46" s="228" t="str">
        <f>IF('PROGRAM JADWAL GENAP'!T45="","",'PROGRAM JADWAL GENAP'!T45)</f>
        <v/>
      </c>
    </row>
    <row r="47" spans="1:12" ht="40.049999999999997" customHeight="1" x14ac:dyDescent="0.3">
      <c r="A47" s="262"/>
      <c r="B47" s="138" t="str">
        <f>IF('PROGRAM JADWAL GENAP'!C46="","",'PROGRAM JADWAL GENAP'!C46)</f>
        <v/>
      </c>
      <c r="C47" s="138" t="str">
        <f>IF('PROGRAM JADWAL GENAP'!D46="","",'PROGRAM JADWAL GENAP'!D46)</f>
        <v/>
      </c>
      <c r="D47" s="138" t="str">
        <f>IF('PROGRAM JADWAL GENAP'!E46="","",'PROGRAM JADWAL GENAP'!E46)</f>
        <v/>
      </c>
      <c r="E47" s="136" t="str">
        <f>IF('PROGRAM JADWAL GENAP'!H46="","",'PROGRAM JADWAL GENAP'!H46)</f>
        <v/>
      </c>
      <c r="F47" s="137" t="str">
        <f>IF('PROGRAM JADWAL GENAP'!I46="","",'PROGRAM JADWAL GENAP'!I46)</f>
        <v/>
      </c>
      <c r="G47" s="138" t="str">
        <f>IF('PROGRAM JADWAL GENAP'!M46="","",'PROGRAM JADWAL GENAP'!M46)</f>
        <v/>
      </c>
      <c r="H47" s="139" t="str">
        <f>IF('PROGRAM JADWAL GENAP'!N46="","",'PROGRAM JADWAL GENAP'!N46)</f>
        <v/>
      </c>
      <c r="I47" s="139" t="str">
        <f>IF('PROGRAM JADWAL GENAP'!O46="","",'PROGRAM JADWAL GENAP'!O46)</f>
        <v/>
      </c>
      <c r="J47" s="139" t="str">
        <f>IF('PROGRAM JADWAL GENAP'!P46="","",'PROGRAM JADWAL GENAP'!P46)</f>
        <v/>
      </c>
      <c r="K47" s="136" t="str">
        <f>IF('PROGRAM JADWAL GENAP'!S46="","",'PROGRAM JADWAL GENAP'!S46)</f>
        <v/>
      </c>
      <c r="L47" s="228" t="str">
        <f>IF('PROGRAM JADWAL GENAP'!T46="","",'PROGRAM JADWAL GENAP'!T46)</f>
        <v/>
      </c>
    </row>
    <row r="48" spans="1:12" ht="40.049999999999997" customHeight="1" x14ac:dyDescent="0.3">
      <c r="A48" s="262"/>
      <c r="B48" s="138">
        <f>IF('PROGRAM JADWAL GENAP'!C47="","",'PROGRAM JADWAL GENAP'!C47)</f>
        <v>0.53125</v>
      </c>
      <c r="C48" s="138" t="str">
        <f>IF('PROGRAM JADWAL GENAP'!D47="","",'PROGRAM JADWAL GENAP'!D47)</f>
        <v>s/d</v>
      </c>
      <c r="D48" s="138">
        <f>IF('PROGRAM JADWAL GENAP'!E47="","",'PROGRAM JADWAL GENAP'!E47)</f>
        <v>0.60069444444444442</v>
      </c>
      <c r="E48" s="136" t="str">
        <f>IF('PROGRAM JADWAL GENAP'!H47="","",'PROGRAM JADWAL GENAP'!H47)</f>
        <v>INF-55201-109</v>
      </c>
      <c r="F48" s="137" t="str">
        <f>IF('PROGRAM JADWAL GENAP'!I47="","",'PROGRAM JADWAL GENAP'!I47)</f>
        <v>Struktur  Data  dan Algoritma*</v>
      </c>
      <c r="G48" s="138" t="str">
        <f>IF('PROGRAM JADWAL GENAP'!M47="","",'PROGRAM JADWAL GENAP'!M47)</f>
        <v>B</v>
      </c>
      <c r="H48" s="139">
        <f>IF('PROGRAM JADWAL GENAP'!N47="","",'PROGRAM JADWAL GENAP'!N47)</f>
        <v>2</v>
      </c>
      <c r="I48" s="139">
        <f>IF('PROGRAM JADWAL GENAP'!O47="","",'PROGRAM JADWAL GENAP'!O47)</f>
        <v>4</v>
      </c>
      <c r="J48" s="139">
        <f>IF('PROGRAM JADWAL GENAP'!P47="","",'PROGRAM JADWAL GENAP'!P47)</f>
        <v>35</v>
      </c>
      <c r="K48" s="136" t="str">
        <f>IF('PROGRAM JADWAL GENAP'!S47="","",'PROGRAM JADWAL GENAP'!S47)</f>
        <v>Morteza Muthahhari, S.Kom., M.T.I / Fauzan Asrin, S.Kom, M. Kom.</v>
      </c>
      <c r="L48" s="228" t="str">
        <f>IF('PROGRAM JADWAL GENAP'!T47="","",'PROGRAM JADWAL GENAP'!T47)</f>
        <v/>
      </c>
    </row>
    <row r="49" spans="1:12" ht="40.049999999999997" customHeight="1" x14ac:dyDescent="0.3">
      <c r="A49" s="262"/>
      <c r="B49" s="138">
        <f>IF('PROGRAM JADWAL GENAP'!C48="","",'PROGRAM JADWAL GENAP'!C48)</f>
        <v>0.53125</v>
      </c>
      <c r="C49" s="138" t="str">
        <f>IF('PROGRAM JADWAL GENAP'!D48="","",'PROGRAM JADWAL GENAP'!D48)</f>
        <v>s/d</v>
      </c>
      <c r="D49" s="138">
        <f>IF('PROGRAM JADWAL GENAP'!E48="","",'PROGRAM JADWAL GENAP'!E48)</f>
        <v>0.60069444444444442</v>
      </c>
      <c r="E49" s="136" t="str">
        <f>IF('PROGRAM JADWAL GENAP'!H48="","",'PROGRAM JADWAL GENAP'!H48)</f>
        <v>INF-55201-208</v>
      </c>
      <c r="F49" s="137" t="str">
        <f>IF('PROGRAM JADWAL GENAP'!I48="","",'PROGRAM JADWAL GENAP'!I48)</f>
        <v>Manajemen Basis Data*</v>
      </c>
      <c r="G49" s="138" t="str">
        <f>IF('PROGRAM JADWAL GENAP'!M48="","",'PROGRAM JADWAL GENAP'!M48)</f>
        <v>C</v>
      </c>
      <c r="H49" s="139">
        <f>IF('PROGRAM JADWAL GENAP'!N48="","",'PROGRAM JADWAL GENAP'!N48)</f>
        <v>4</v>
      </c>
      <c r="I49" s="139">
        <f>IF('PROGRAM JADWAL GENAP'!O48="","",'PROGRAM JADWAL GENAP'!O48)</f>
        <v>4</v>
      </c>
      <c r="J49" s="139">
        <f>IF('PROGRAM JADWAL GENAP'!P48="","",'PROGRAM JADWAL GENAP'!P48)</f>
        <v>35</v>
      </c>
      <c r="K49" s="136" t="str">
        <f>IF('PROGRAM JADWAL GENAP'!S48="","",'PROGRAM JADWAL GENAP'!S48)</f>
        <v>Helen Sastypratiwi, S.T., M.Eng / Haried Novriando, S.Kom, M.Eng</v>
      </c>
      <c r="L49" s="228" t="str">
        <f>IF('PROGRAM JADWAL GENAP'!T48="","",'PROGRAM JADWAL GENAP'!T48)</f>
        <v/>
      </c>
    </row>
    <row r="50" spans="1:12" ht="40.049999999999997" customHeight="1" x14ac:dyDescent="0.3">
      <c r="A50" s="262"/>
      <c r="B50" s="138">
        <f>IF('PROGRAM JADWAL GENAP'!C49="","",'PROGRAM JADWAL GENAP'!C49)</f>
        <v>0.53125</v>
      </c>
      <c r="C50" s="138" t="str">
        <f>IF('PROGRAM JADWAL GENAP'!D49="","",'PROGRAM JADWAL GENAP'!D49)</f>
        <v>s/d</v>
      </c>
      <c r="D50" s="138">
        <f>IF('PROGRAM JADWAL GENAP'!E49="","",'PROGRAM JADWAL GENAP'!E49)</f>
        <v>0.60069444444444442</v>
      </c>
      <c r="E50" s="136" t="str">
        <f>IF('PROGRAM JADWAL GENAP'!H49="","",'PROGRAM JADWAL GENAP'!H49)</f>
        <v>INF-55201-211</v>
      </c>
      <c r="F50" s="137" t="str">
        <f>IF('PROGRAM JADWAL GENAP'!I49="","",'PROGRAM JADWAL GENAP'!I49)</f>
        <v>Pemrograman  Berorientasi  Objek * </v>
      </c>
      <c r="G50" s="138" t="str">
        <f>IF('PROGRAM JADWAL GENAP'!M49="","",'PROGRAM JADWAL GENAP'!M49)</f>
        <v>B</v>
      </c>
      <c r="H50" s="139">
        <f>IF('PROGRAM JADWAL GENAP'!N49="","",'PROGRAM JADWAL GENAP'!N49)</f>
        <v>4</v>
      </c>
      <c r="I50" s="139">
        <f>IF('PROGRAM JADWAL GENAP'!O49="","",'PROGRAM JADWAL GENAP'!O49)</f>
        <v>4</v>
      </c>
      <c r="J50" s="139">
        <f>IF('PROGRAM JADWAL GENAP'!P49="","",'PROGRAM JADWAL GENAP'!P49)</f>
        <v>35</v>
      </c>
      <c r="K50" s="136" t="str">
        <f>IF('PROGRAM JADWAL GENAP'!S49="","",'PROGRAM JADWAL GENAP'!S49)</f>
        <v>Rudy Dwi Nyoto, S.T., M.Eng</v>
      </c>
      <c r="L50" s="228" t="str">
        <f>IF('PROGRAM JADWAL GENAP'!T49="","",'PROGRAM JADWAL GENAP'!T49)</f>
        <v/>
      </c>
    </row>
    <row r="51" spans="1:12" ht="40.049999999999997" customHeight="1" x14ac:dyDescent="0.3">
      <c r="A51" s="262"/>
      <c r="B51" s="138">
        <f>IF('PROGRAM JADWAL GENAP'!C50="","",'PROGRAM JADWAL GENAP'!C50)</f>
        <v>0.53125</v>
      </c>
      <c r="C51" s="138" t="str">
        <f>IF('PROGRAM JADWAL GENAP'!D50="","",'PROGRAM JADWAL GENAP'!D50)</f>
        <v>s/d</v>
      </c>
      <c r="D51" s="138">
        <f>IF('PROGRAM JADWAL GENAP'!E50="","",'PROGRAM JADWAL GENAP'!E50)</f>
        <v>0.60069444444444442</v>
      </c>
      <c r="E51" s="136" t="str">
        <f>IF('PROGRAM JADWAL GENAP'!H50="","",'PROGRAM JADWAL GENAP'!H50)</f>
        <v xml:space="preserve"> INF-55201-316</v>
      </c>
      <c r="F51" s="137" t="str">
        <f>IF('PROGRAM JADWAL GENAP'!I50="","",'PROGRAM JADWAL GENAP'!I50)</f>
        <v>Proyek Perangkat  Lunak*</v>
      </c>
      <c r="G51" s="138" t="str">
        <f>IF('PROGRAM JADWAL GENAP'!M50="","",'PROGRAM JADWAL GENAP'!M50)</f>
        <v>C</v>
      </c>
      <c r="H51" s="139">
        <f>IF('PROGRAM JADWAL GENAP'!N50="","",'PROGRAM JADWAL GENAP'!N50)</f>
        <v>6</v>
      </c>
      <c r="I51" s="139">
        <f>IF('PROGRAM JADWAL GENAP'!O50="","",'PROGRAM JADWAL GENAP'!O50)</f>
        <v>4</v>
      </c>
      <c r="J51" s="139">
        <f>IF('PROGRAM JADWAL GENAP'!P50="","",'PROGRAM JADWAL GENAP'!P50)</f>
        <v>35</v>
      </c>
      <c r="K51" s="136" t="str">
        <f>IF('PROGRAM JADWAL GENAP'!S50="","",'PROGRAM JADWAL GENAP'!S50)</f>
        <v>Novi Safriadi, S.T., M.T.</v>
      </c>
      <c r="L51" s="228" t="str">
        <f>IF('PROGRAM JADWAL GENAP'!T50="","",'PROGRAM JADWAL GENAP'!T50)</f>
        <v/>
      </c>
    </row>
    <row r="52" spans="1:12" ht="40.049999999999997" customHeight="1" x14ac:dyDescent="0.3">
      <c r="A52" s="262"/>
      <c r="B52" s="138" t="str">
        <f>IF('PROGRAM JADWAL GENAP'!C51="","",'PROGRAM JADWAL GENAP'!C51)</f>
        <v/>
      </c>
      <c r="C52" s="138" t="str">
        <f>IF('PROGRAM JADWAL GENAP'!D51="","",'PROGRAM JADWAL GENAP'!D51)</f>
        <v/>
      </c>
      <c r="D52" s="138" t="str">
        <f>IF('PROGRAM JADWAL GENAP'!E51="","",'PROGRAM JADWAL GENAP'!E51)</f>
        <v/>
      </c>
      <c r="E52" s="136" t="str">
        <f>IF('PROGRAM JADWAL GENAP'!H51="","",'PROGRAM JADWAL GENAP'!H51)</f>
        <v/>
      </c>
      <c r="F52" s="137" t="str">
        <f>IF('PROGRAM JADWAL GENAP'!I51="","",'PROGRAM JADWAL GENAP'!I51)</f>
        <v/>
      </c>
      <c r="G52" s="138" t="str">
        <f>IF('PROGRAM JADWAL GENAP'!M51="","",'PROGRAM JADWAL GENAP'!M51)</f>
        <v/>
      </c>
      <c r="H52" s="139" t="str">
        <f>IF('PROGRAM JADWAL GENAP'!N51="","",'PROGRAM JADWAL GENAP'!N51)</f>
        <v/>
      </c>
      <c r="I52" s="139" t="str">
        <f>IF('PROGRAM JADWAL GENAP'!O51="","",'PROGRAM JADWAL GENAP'!O51)</f>
        <v/>
      </c>
      <c r="J52" s="139" t="str">
        <f>IF('PROGRAM JADWAL GENAP'!P51="","",'PROGRAM JADWAL GENAP'!P51)</f>
        <v/>
      </c>
      <c r="K52" s="136" t="str">
        <f>IF('PROGRAM JADWAL GENAP'!S51="","",'PROGRAM JADWAL GENAP'!S51)</f>
        <v/>
      </c>
      <c r="L52" s="228" t="str">
        <f>IF('PROGRAM JADWAL GENAP'!T51="","",'PROGRAM JADWAL GENAP'!T51)</f>
        <v/>
      </c>
    </row>
    <row r="53" spans="1:12" ht="40.049999999999997" customHeight="1" x14ac:dyDescent="0.3">
      <c r="A53" s="262"/>
      <c r="B53" s="138">
        <f>IF('PROGRAM JADWAL GENAP'!C52="","",'PROGRAM JADWAL GENAP'!C52)</f>
        <v>0.60763888888888895</v>
      </c>
      <c r="C53" s="138" t="str">
        <f>IF('PROGRAM JADWAL GENAP'!D52="","",'PROGRAM JADWAL GENAP'!D52)</f>
        <v>s/d</v>
      </c>
      <c r="D53" s="138">
        <f>IF('PROGRAM JADWAL GENAP'!E52="","",'PROGRAM JADWAL GENAP'!E52)</f>
        <v>0.67708333333333337</v>
      </c>
      <c r="E53" s="136" t="str">
        <f>IF('PROGRAM JADWAL GENAP'!H52="","",'PROGRAM JADWAL GENAP'!H52)</f>
        <v>UMG-55201-102</v>
      </c>
      <c r="F53" s="137" t="str">
        <f>IF('PROGRAM JADWAL GENAP'!I52="","",'PROGRAM JADWAL GENAP'!I52)</f>
        <v>Bahasa Indonesia</v>
      </c>
      <c r="G53" s="138" t="str">
        <f>IF('PROGRAM JADWAL GENAP'!M52="","",'PROGRAM JADWAL GENAP'!M52)</f>
        <v>B</v>
      </c>
      <c r="H53" s="139">
        <f>IF('PROGRAM JADWAL GENAP'!N52="","",'PROGRAM JADWAL GENAP'!N52)</f>
        <v>2</v>
      </c>
      <c r="I53" s="139">
        <f>IF('PROGRAM JADWAL GENAP'!O52="","",'PROGRAM JADWAL GENAP'!O52)</f>
        <v>2</v>
      </c>
      <c r="J53" s="139">
        <f>IF('PROGRAM JADWAL GENAP'!P52="","",'PROGRAM JADWAL GENAP'!P52)</f>
        <v>28</v>
      </c>
      <c r="K53" s="136" t="str">
        <f>IF('PROGRAM JADWAL GENAP'!S52="","",'PROGRAM JADWAL GENAP'!S52)</f>
        <v>MKU</v>
      </c>
      <c r="L53" s="228" t="str">
        <f>IF('PROGRAM JADWAL GENAP'!T52="","",'PROGRAM JADWAL GENAP'!T52)</f>
        <v/>
      </c>
    </row>
    <row r="54" spans="1:12" ht="40.049999999999997" customHeight="1" x14ac:dyDescent="0.3">
      <c r="A54" s="262"/>
      <c r="B54" s="138">
        <f>IF('PROGRAM JADWAL GENAP'!C53="","",'PROGRAM JADWAL GENAP'!C53)</f>
        <v>0.60763888888888895</v>
      </c>
      <c r="C54" s="138" t="str">
        <f>IF('PROGRAM JADWAL GENAP'!D53="","",'PROGRAM JADWAL GENAP'!D53)</f>
        <v>s/d</v>
      </c>
      <c r="D54" s="138">
        <f>IF('PROGRAM JADWAL GENAP'!E53="","",'PROGRAM JADWAL GENAP'!E53)</f>
        <v>0.67708333333333337</v>
      </c>
      <c r="E54" s="136" t="str">
        <f>IF('PROGRAM JADWAL GENAP'!H53="","",'PROGRAM JADWAL GENAP'!H53)</f>
        <v>INF-55201-213</v>
      </c>
      <c r="F54" s="137" t="str">
        <f>IF('PROGRAM JADWAL GENAP'!I53="","",'PROGRAM JADWAL GENAP'!I53)</f>
        <v>Sistem Informasi</v>
      </c>
      <c r="G54" s="138" t="str">
        <f>IF('PROGRAM JADWAL GENAP'!M53="","",'PROGRAM JADWAL GENAP'!M53)</f>
        <v>B</v>
      </c>
      <c r="H54" s="139">
        <f>IF('PROGRAM JADWAL GENAP'!N53="","",'PROGRAM JADWAL GENAP'!N53)</f>
        <v>4</v>
      </c>
      <c r="I54" s="139">
        <f>IF('PROGRAM JADWAL GENAP'!O53="","",'PROGRAM JADWAL GENAP'!O53)</f>
        <v>2</v>
      </c>
      <c r="J54" s="139">
        <f>IF('PROGRAM JADWAL GENAP'!P53="","",'PROGRAM JADWAL GENAP'!P53)</f>
        <v>28</v>
      </c>
      <c r="K54" s="136" t="str">
        <f>IF('PROGRAM JADWAL GENAP'!S53="","",'PROGRAM JADWAL GENAP'!S53)</f>
        <v>Eva Faja Ripanti, S.Kom, MMSI, Ph.D / Yulianti,S.Kom, MMSI</v>
      </c>
      <c r="L54" s="228" t="str">
        <f>IF('PROGRAM JADWAL GENAP'!T53="","",'PROGRAM JADWAL GENAP'!T53)</f>
        <v/>
      </c>
    </row>
    <row r="55" spans="1:12" ht="40.049999999999997" customHeight="1" x14ac:dyDescent="0.3">
      <c r="A55" s="262"/>
      <c r="B55" s="138">
        <f>IF('PROGRAM JADWAL GENAP'!C54="","",'PROGRAM JADWAL GENAP'!C54)</f>
        <v>0.60763888888888895</v>
      </c>
      <c r="C55" s="138" t="str">
        <f>IF('PROGRAM JADWAL GENAP'!D54="","",'PROGRAM JADWAL GENAP'!D54)</f>
        <v>s/d</v>
      </c>
      <c r="D55" s="138">
        <f>IF('PROGRAM JADWAL GENAP'!E54="","",'PROGRAM JADWAL GENAP'!E54)</f>
        <v>0.67708333333333337</v>
      </c>
      <c r="E55" s="136" t="str">
        <f>IF('PROGRAM JADWAL GENAP'!H54="","",'PROGRAM JADWAL GENAP'!H54)</f>
        <v xml:space="preserve"> INF-55201-312</v>
      </c>
      <c r="F55" s="137" t="str">
        <f>IF('PROGRAM JADWAL GENAP'!I54="","",'PROGRAM JADWAL GENAP'!I54)</f>
        <v>Sosio dan Etika Profesi</v>
      </c>
      <c r="G55" s="138" t="str">
        <f>IF('PROGRAM JADWAL GENAP'!M54="","",'PROGRAM JADWAL GENAP'!M54)</f>
        <v>D</v>
      </c>
      <c r="H55" s="139">
        <f>IF('PROGRAM JADWAL GENAP'!N54="","",'PROGRAM JADWAL GENAP'!N54)</f>
        <v>6</v>
      </c>
      <c r="I55" s="139">
        <f>IF('PROGRAM JADWAL GENAP'!O54="","",'PROGRAM JADWAL GENAP'!O54)</f>
        <v>2</v>
      </c>
      <c r="J55" s="139">
        <f>IF('PROGRAM JADWAL GENAP'!P54="","",'PROGRAM JADWAL GENAP'!P54)</f>
        <v>28</v>
      </c>
      <c r="K55" s="136" t="str">
        <f>IF('PROGRAM JADWAL GENAP'!S54="","",'PROGRAM JADWAL GENAP'!S54)</f>
        <v>Hafiz Muhardi, S.T., M.Kom</v>
      </c>
      <c r="L55" s="228" t="str">
        <f>IF('PROGRAM JADWAL GENAP'!T54="","",'PROGRAM JADWAL GENAP'!T54)</f>
        <v/>
      </c>
    </row>
    <row r="56" spans="1:12" ht="40.049999999999997" customHeight="1" x14ac:dyDescent="0.3">
      <c r="A56" s="263"/>
      <c r="B56" s="138">
        <f>IF('PROGRAM JADWAL GENAP'!C55="","",'PROGRAM JADWAL GENAP'!C55)</f>
        <v>0.60763888888888895</v>
      </c>
      <c r="C56" s="138" t="str">
        <f>IF('PROGRAM JADWAL GENAP'!D55="","",'PROGRAM JADWAL GENAP'!D55)</f>
        <v>s/d</v>
      </c>
      <c r="D56" s="138">
        <f>IF('PROGRAM JADWAL GENAP'!E55="","",'PROGRAM JADWAL GENAP'!E55)</f>
        <v>0.67708333333333337</v>
      </c>
      <c r="E56" s="136" t="str">
        <f>IF('PROGRAM JADWAL GENAP'!H55="","",'PROGRAM JADWAL GENAP'!H55)</f>
        <v xml:space="preserve"> INF-55201-307</v>
      </c>
      <c r="F56" s="137" t="str">
        <f>IF('PROGRAM JADWAL GENAP'!I55="","",'PROGRAM JADWAL GENAP'!I55)</f>
        <v xml:space="preserve">Teori Komputer Grafis </v>
      </c>
      <c r="G56" s="138" t="str">
        <f>IF('PROGRAM JADWAL GENAP'!M55="","",'PROGRAM JADWAL GENAP'!M55)</f>
        <v>B</v>
      </c>
      <c r="H56" s="139">
        <f>IF('PROGRAM JADWAL GENAP'!N55="","",'PROGRAM JADWAL GENAP'!N55)</f>
        <v>6</v>
      </c>
      <c r="I56" s="139">
        <f>IF('PROGRAM JADWAL GENAP'!O55="","",'PROGRAM JADWAL GENAP'!O55)</f>
        <v>2</v>
      </c>
      <c r="J56" s="139">
        <f>IF('PROGRAM JADWAL GENAP'!P55="","",'PROGRAM JADWAL GENAP'!P55)</f>
        <v>28</v>
      </c>
      <c r="K56" s="136" t="str">
        <f>IF('PROGRAM JADWAL GENAP'!S55="","",'PROGRAM JADWAL GENAP'!S55)</f>
        <v>H. Hengky Anra, S.T., M.Kom</v>
      </c>
      <c r="L56" s="228" t="str">
        <f>IF('PROGRAM JADWAL GENAP'!T55="","",'PROGRAM JADWAL GENAP'!T55)</f>
        <v/>
      </c>
    </row>
    <row r="57" spans="1:12" ht="40.049999999999997" customHeight="1" x14ac:dyDescent="0.3">
      <c r="A57" s="254" t="str">
        <f>IF('PROGRAM JADWAL GENAP'!B56="","",'PROGRAM JADWAL GENAP'!B56)</f>
        <v/>
      </c>
      <c r="B57" s="138" t="str">
        <f>IF('PROGRAM JADWAL GENAP'!C56="","",'PROGRAM JADWAL GENAP'!C56)</f>
        <v/>
      </c>
      <c r="C57" s="138" t="str">
        <f>IF('PROGRAM JADWAL GENAP'!D56="","",'PROGRAM JADWAL GENAP'!D56)</f>
        <v/>
      </c>
      <c r="D57" s="138" t="str">
        <f>IF('PROGRAM JADWAL GENAP'!E56="","",'PROGRAM JADWAL GENAP'!E56)</f>
        <v/>
      </c>
      <c r="E57" s="136" t="str">
        <f>IF('PROGRAM JADWAL GENAP'!H56="","",'PROGRAM JADWAL GENAP'!H56)</f>
        <v/>
      </c>
      <c r="F57" s="137" t="str">
        <f>IF('PROGRAM JADWAL GENAP'!I56="","",'PROGRAM JADWAL GENAP'!I56)</f>
        <v/>
      </c>
      <c r="G57" s="138" t="str">
        <f>IF('PROGRAM JADWAL GENAP'!M56="","",'PROGRAM JADWAL GENAP'!M56)</f>
        <v/>
      </c>
      <c r="H57" s="139" t="str">
        <f>IF('PROGRAM JADWAL GENAP'!N56="","",'PROGRAM JADWAL GENAP'!N56)</f>
        <v/>
      </c>
      <c r="I57" s="139" t="str">
        <f>IF('PROGRAM JADWAL GENAP'!O56="","",'PROGRAM JADWAL GENAP'!O56)</f>
        <v/>
      </c>
      <c r="J57" s="139" t="str">
        <f>IF('PROGRAM JADWAL GENAP'!P56="","",'PROGRAM JADWAL GENAP'!P56)</f>
        <v/>
      </c>
      <c r="K57" s="136" t="str">
        <f>IF('PROGRAM JADWAL GENAP'!S56="","",'PROGRAM JADWAL GENAP'!S56)</f>
        <v/>
      </c>
      <c r="L57" s="228" t="str">
        <f>IF('PROGRAM JADWAL GENAP'!T56="","",'PROGRAM JADWAL GENAP'!T56)</f>
        <v/>
      </c>
    </row>
    <row r="58" spans="1:12" ht="40.049999999999997" customHeight="1" x14ac:dyDescent="0.3">
      <c r="A58" s="254" t="str">
        <f>IF('PROGRAM JADWAL GENAP'!B57="","",'PROGRAM JADWAL GENAP'!B57)</f>
        <v/>
      </c>
      <c r="B58" s="138" t="str">
        <f>IF('PROGRAM JADWAL GENAP'!C57="","",'PROGRAM JADWAL GENAP'!C57)</f>
        <v/>
      </c>
      <c r="C58" s="138" t="str">
        <f>IF('PROGRAM JADWAL GENAP'!D57="","",'PROGRAM JADWAL GENAP'!D57)</f>
        <v/>
      </c>
      <c r="D58" s="138" t="str">
        <f>IF('PROGRAM JADWAL GENAP'!E57="","",'PROGRAM JADWAL GENAP'!E57)</f>
        <v/>
      </c>
      <c r="E58" s="136" t="str">
        <f>IF('PROGRAM JADWAL GENAP'!H57="","",'PROGRAM JADWAL GENAP'!H57)</f>
        <v/>
      </c>
      <c r="F58" s="137" t="str">
        <f>IF('PROGRAM JADWAL GENAP'!I57="","",'PROGRAM JADWAL GENAP'!I57)</f>
        <v/>
      </c>
      <c r="G58" s="138" t="str">
        <f>IF('PROGRAM JADWAL GENAP'!M57="","",'PROGRAM JADWAL GENAP'!M57)</f>
        <v/>
      </c>
      <c r="H58" s="139" t="str">
        <f>IF('PROGRAM JADWAL GENAP'!N57="","",'PROGRAM JADWAL GENAP'!N57)</f>
        <v/>
      </c>
      <c r="I58" s="139" t="str">
        <f>IF('PROGRAM JADWAL GENAP'!O57="","",'PROGRAM JADWAL GENAP'!O57)</f>
        <v/>
      </c>
      <c r="J58" s="139" t="str">
        <f>IF('PROGRAM JADWAL GENAP'!P57="","",'PROGRAM JADWAL GENAP'!P57)</f>
        <v/>
      </c>
      <c r="K58" s="136" t="str">
        <f>IF('PROGRAM JADWAL GENAP'!S57="","",'PROGRAM JADWAL GENAP'!S57)</f>
        <v/>
      </c>
      <c r="L58" s="228" t="str">
        <f>IF('PROGRAM JADWAL GENAP'!T57="","",'PROGRAM JADWAL GENAP'!T57)</f>
        <v/>
      </c>
    </row>
    <row r="59" spans="1:12" ht="40.049999999999997" customHeight="1" x14ac:dyDescent="0.3">
      <c r="A59" s="261" t="str">
        <f>IF('PROGRAM JADWAL GENAP'!B58="","",'PROGRAM JADWAL GENAP'!B58)</f>
        <v>Rabu</v>
      </c>
      <c r="B59" s="138">
        <f>IF('PROGRAM JADWAL GENAP'!C58="","",'PROGRAM JADWAL GENAP'!C58)</f>
        <v>0.3125</v>
      </c>
      <c r="C59" s="138" t="str">
        <f>IF('PROGRAM JADWAL GENAP'!D58="","",'PROGRAM JADWAL GENAP'!D58)</f>
        <v>s/d</v>
      </c>
      <c r="D59" s="138">
        <f>IF('PROGRAM JADWAL GENAP'!E58="","",'PROGRAM JADWAL GENAP'!E58)</f>
        <v>0.41666666666666669</v>
      </c>
      <c r="E59" s="136" t="str">
        <f>IF('PROGRAM JADWAL GENAP'!H58="","",'PROGRAM JADWAL GENAP'!H58)</f>
        <v>INF-55201-108</v>
      </c>
      <c r="F59" s="137" t="str">
        <f>IF('PROGRAM JADWAL GENAP'!I58="","",'PROGRAM JADWAL GENAP'!I58)</f>
        <v>Dasar rekayasa perangkat lunak</v>
      </c>
      <c r="G59" s="138" t="str">
        <f>IF('PROGRAM JADWAL GENAP'!M58="","",'PROGRAM JADWAL GENAP'!M58)</f>
        <v>B</v>
      </c>
      <c r="H59" s="139">
        <f>IF('PROGRAM JADWAL GENAP'!N58="","",'PROGRAM JADWAL GENAP'!N58)</f>
        <v>2</v>
      </c>
      <c r="I59" s="139">
        <f>IF('PROGRAM JADWAL GENAP'!O58="","",'PROGRAM JADWAL GENAP'!O58)</f>
        <v>3</v>
      </c>
      <c r="J59" s="139">
        <f>IF('PROGRAM JADWAL GENAP'!P58="","",'PROGRAM JADWAL GENAP'!P58)</f>
        <v>28</v>
      </c>
      <c r="K59" s="136" t="str">
        <f>IF('PROGRAM JADWAL GENAP'!S58="","",'PROGRAM JADWAL GENAP'!S58)</f>
        <v>Dr. Yus Sholva, S.T., M.T. / Desepta Isna Ulumi, S.Kom, M.Kom.</v>
      </c>
      <c r="L59" s="228" t="str">
        <f>IF('PROGRAM JADWAL GENAP'!T58="","",'PROGRAM JADWAL GENAP'!T58)</f>
        <v/>
      </c>
    </row>
    <row r="60" spans="1:12" ht="40.049999999999997" customHeight="1" x14ac:dyDescent="0.3">
      <c r="A60" s="262"/>
      <c r="B60" s="138">
        <f>IF('PROGRAM JADWAL GENAP'!C59="","",'PROGRAM JADWAL GENAP'!C59)</f>
        <v>0.3125</v>
      </c>
      <c r="C60" s="138" t="str">
        <f>IF('PROGRAM JADWAL GENAP'!D59="","",'PROGRAM JADWAL GENAP'!D59)</f>
        <v>s/d</v>
      </c>
      <c r="D60" s="138">
        <f>IF('PROGRAM JADWAL GENAP'!E59="","",'PROGRAM JADWAL GENAP'!E59)</f>
        <v>0.41666666666666669</v>
      </c>
      <c r="E60" s="136" t="str">
        <f>IF('PROGRAM JADWAL GENAP'!H59="","",'PROGRAM JADWAL GENAP'!H59)</f>
        <v>INF-55201-106</v>
      </c>
      <c r="F60" s="137" t="str">
        <f>IF('PROGRAM JADWAL GENAP'!I59="","",'PROGRAM JADWAL GENAP'!I59)</f>
        <v>Matematika  Dasar II</v>
      </c>
      <c r="G60" s="138" t="str">
        <f>IF('PROGRAM JADWAL GENAP'!M59="","",'PROGRAM JADWAL GENAP'!M59)</f>
        <v>A</v>
      </c>
      <c r="H60" s="139">
        <f>IF('PROGRAM JADWAL GENAP'!N59="","",'PROGRAM JADWAL GENAP'!N59)</f>
        <v>2</v>
      </c>
      <c r="I60" s="139">
        <f>IF('PROGRAM JADWAL GENAP'!O59="","",'PROGRAM JADWAL GENAP'!O59)</f>
        <v>3</v>
      </c>
      <c r="J60" s="139">
        <f>IF('PROGRAM JADWAL GENAP'!P59="","",'PROGRAM JADWAL GENAP'!P59)</f>
        <v>28</v>
      </c>
      <c r="K60" s="136" t="str">
        <f>IF('PROGRAM JADWAL GENAP'!S59="","",'PROGRAM JADWAL GENAP'!S59)</f>
        <v>Anggi Srimurdianti, S.T., M.T. / Rina Septiriana, S.T., M.Cs.</v>
      </c>
      <c r="L60" s="228" t="str">
        <f>IF('PROGRAM JADWAL GENAP'!T59="","",'PROGRAM JADWAL GENAP'!T59)</f>
        <v/>
      </c>
    </row>
    <row r="61" spans="1:12" ht="40.049999999999997" customHeight="1" x14ac:dyDescent="0.3">
      <c r="A61" s="262"/>
      <c r="B61" s="138">
        <f>IF('PROGRAM JADWAL GENAP'!C60="","",'PROGRAM JADWAL GENAP'!C60)</f>
        <v>0.3125</v>
      </c>
      <c r="C61" s="138" t="str">
        <f>IF('PROGRAM JADWAL GENAP'!D60="","",'PROGRAM JADWAL GENAP'!D60)</f>
        <v>s/d</v>
      </c>
      <c r="D61" s="138">
        <f>IF('PROGRAM JADWAL GENAP'!E60="","",'PROGRAM JADWAL GENAP'!E60)</f>
        <v>0.41666666666666669</v>
      </c>
      <c r="E61" s="136" t="str">
        <f>IF('PROGRAM JADWAL GENAP'!H60="","",'PROGRAM JADWAL GENAP'!H60)</f>
        <v>INF-55201-214</v>
      </c>
      <c r="F61" s="137" t="str">
        <f>IF('PROGRAM JADWAL GENAP'!I60="","",'PROGRAM JADWAL GENAP'!I60)</f>
        <v>Sistem Pendukung Keputusan</v>
      </c>
      <c r="G61" s="138" t="str">
        <f>IF('PROGRAM JADWAL GENAP'!M60="","",'PROGRAM JADWAL GENAP'!M60)</f>
        <v>D</v>
      </c>
      <c r="H61" s="139">
        <f>IF('PROGRAM JADWAL GENAP'!N60="","",'PROGRAM JADWAL GENAP'!N60)</f>
        <v>4</v>
      </c>
      <c r="I61" s="139">
        <f>IF('PROGRAM JADWAL GENAP'!O60="","",'PROGRAM JADWAL GENAP'!O60)</f>
        <v>3</v>
      </c>
      <c r="J61" s="139">
        <f>IF('PROGRAM JADWAL GENAP'!P60="","",'PROGRAM JADWAL GENAP'!P60)</f>
        <v>28</v>
      </c>
      <c r="K61" s="136" t="str">
        <f>IF('PROGRAM JADWAL GENAP'!S60="","",'PROGRAM JADWAL GENAP'!S60)</f>
        <v>Tursina ST, M.Cs</v>
      </c>
      <c r="L61" s="228" t="str">
        <f>IF('PROGRAM JADWAL GENAP'!T60="","",'PROGRAM JADWAL GENAP'!T60)</f>
        <v/>
      </c>
    </row>
    <row r="62" spans="1:12" ht="40.049999999999997" customHeight="1" x14ac:dyDescent="0.3">
      <c r="A62" s="262"/>
      <c r="B62" s="138">
        <f>IF('PROGRAM JADWAL GENAP'!C61="","",'PROGRAM JADWAL GENAP'!C61)</f>
        <v>0.3125</v>
      </c>
      <c r="C62" s="138" t="str">
        <f>IF('PROGRAM JADWAL GENAP'!D61="","",'PROGRAM JADWAL GENAP'!D61)</f>
        <v>s/d</v>
      </c>
      <c r="D62" s="138">
        <f>IF('PROGRAM JADWAL GENAP'!E61="","",'PROGRAM JADWAL GENAP'!E61)</f>
        <v>0.38194444444444442</v>
      </c>
      <c r="E62" s="136" t="str">
        <f>IF('PROGRAM JADWAL GENAP'!H61="","",'PROGRAM JADWAL GENAP'!H61)</f>
        <v>INF-55201-209</v>
      </c>
      <c r="F62" s="137" t="str">
        <f>IF('PROGRAM JADWAL GENAP'!I61="","",'PROGRAM JADWAL GENAP'!I61)</f>
        <v>Otomata</v>
      </c>
      <c r="G62" s="138" t="str">
        <f>IF('PROGRAM JADWAL GENAP'!M61="","",'PROGRAM JADWAL GENAP'!M61)</f>
        <v>C</v>
      </c>
      <c r="H62" s="139">
        <f>IF('PROGRAM JADWAL GENAP'!N61="","",'PROGRAM JADWAL GENAP'!N61)</f>
        <v>4</v>
      </c>
      <c r="I62" s="139">
        <f>IF('PROGRAM JADWAL GENAP'!O61="","",'PROGRAM JADWAL GENAP'!O61)</f>
        <v>2</v>
      </c>
      <c r="J62" s="139">
        <f>IF('PROGRAM JADWAL GENAP'!P61="","",'PROGRAM JADWAL GENAP'!P61)</f>
        <v>28</v>
      </c>
      <c r="K62" s="136" t="str">
        <f>IF('PROGRAM JADWAL GENAP'!S61="","",'PROGRAM JADWAL GENAP'!S61)</f>
        <v>Novi Safriadi, S.T., M.T. / Khairul Hafidh, S.T., M.Kom.</v>
      </c>
      <c r="L62" s="228" t="str">
        <f>IF('PROGRAM JADWAL GENAP'!T61="","",'PROGRAM JADWAL GENAP'!T61)</f>
        <v/>
      </c>
    </row>
    <row r="63" spans="1:12" ht="40.049999999999997" customHeight="1" x14ac:dyDescent="0.3">
      <c r="A63" s="262"/>
      <c r="B63" s="138">
        <f>IF('PROGRAM JADWAL GENAP'!C62="","",'PROGRAM JADWAL GENAP'!C62)</f>
        <v>0.3125</v>
      </c>
      <c r="C63" s="138" t="str">
        <f>IF('PROGRAM JADWAL GENAP'!D62="","",'PROGRAM JADWAL GENAP'!D62)</f>
        <v>s/d</v>
      </c>
      <c r="D63" s="138">
        <f>IF('PROGRAM JADWAL GENAP'!E62="","",'PROGRAM JADWAL GENAP'!E62)</f>
        <v>0.41666666666666669</v>
      </c>
      <c r="E63" s="136" t="str">
        <f>IF('PROGRAM JADWAL GENAP'!H62="","",'PROGRAM JADWAL GENAP'!H62)</f>
        <v xml:space="preserve"> INF-55201-309</v>
      </c>
      <c r="F63" s="137" t="str">
        <f>IF('PROGRAM JADWAL GENAP'!I62="","",'PROGRAM JADWAL GENAP'!I62)</f>
        <v>Keamanan  Informasi  dan  Jaringan*</v>
      </c>
      <c r="G63" s="138" t="str">
        <f>IF('PROGRAM JADWAL GENAP'!M62="","",'PROGRAM JADWAL GENAP'!M62)</f>
        <v>B</v>
      </c>
      <c r="H63" s="139">
        <f>IF('PROGRAM JADWAL GENAP'!N62="","",'PROGRAM JADWAL GENAP'!N62)</f>
        <v>6</v>
      </c>
      <c r="I63" s="139">
        <f>IF('PROGRAM JADWAL GENAP'!O62="","",'PROGRAM JADWAL GENAP'!O62)</f>
        <v>3</v>
      </c>
      <c r="J63" s="139">
        <f>IF('PROGRAM JADWAL GENAP'!P62="","",'PROGRAM JADWAL GENAP'!P62)</f>
        <v>28</v>
      </c>
      <c r="K63" s="136" t="str">
        <f>IF('PROGRAM JADWAL GENAP'!S62="","",'PROGRAM JADWAL GENAP'!S62)</f>
        <v>Haried Novriando, S.Kom, M.Eng / Alfian Abdul Jalid, S.Kom., M.Cs.</v>
      </c>
      <c r="L63" s="228" t="str">
        <f>IF('PROGRAM JADWAL GENAP'!T62="","",'PROGRAM JADWAL GENAP'!T62)</f>
        <v/>
      </c>
    </row>
    <row r="64" spans="1:12" ht="40.049999999999997" customHeight="1" x14ac:dyDescent="0.3">
      <c r="A64" s="262"/>
      <c r="B64" s="138">
        <f>IF('PROGRAM JADWAL GENAP'!C63="","",'PROGRAM JADWAL GENAP'!C63)</f>
        <v>0.3125</v>
      </c>
      <c r="C64" s="138" t="str">
        <f>IF('PROGRAM JADWAL GENAP'!D63="","",'PROGRAM JADWAL GENAP'!D63)</f>
        <v>s/d</v>
      </c>
      <c r="D64" s="138">
        <f>IF('PROGRAM JADWAL GENAP'!E63="","",'PROGRAM JADWAL GENAP'!E63)</f>
        <v>0.41666666666666669</v>
      </c>
      <c r="E64" s="136" t="str">
        <f>IF('PROGRAM JADWAL GENAP'!H63="","",'PROGRAM JADWAL GENAP'!H63)</f>
        <v xml:space="preserve"> INF-55201-313</v>
      </c>
      <c r="F64" s="137" t="str">
        <f>IF('PROGRAM JADWAL GENAP'!I63="","",'PROGRAM JADWAL GENAP'!I63)</f>
        <v>MK Pilihan Wajib Komputasi (PBA)</v>
      </c>
      <c r="G64" s="138" t="str">
        <f>IF('PROGRAM JADWAL GENAP'!M63="","",'PROGRAM JADWAL GENAP'!M63)</f>
        <v>A</v>
      </c>
      <c r="H64" s="139">
        <f>IF('PROGRAM JADWAL GENAP'!N63="","",'PROGRAM JADWAL GENAP'!N63)</f>
        <v>6</v>
      </c>
      <c r="I64" s="139">
        <f>IF('PROGRAM JADWAL GENAP'!O63="","",'PROGRAM JADWAL GENAP'!O63)</f>
        <v>3</v>
      </c>
      <c r="J64" s="139">
        <f>IF('PROGRAM JADWAL GENAP'!P63="","",'PROGRAM JADWAL GENAP'!P63)</f>
        <v>28</v>
      </c>
      <c r="K64" s="136" t="str">
        <f>IF('PROGRAM JADWAL GENAP'!S63="","",'PROGRAM JADWAL GENAP'!S63)</f>
        <v>Dr. Herry Sujaini, S.T., M.T. / Dr. Arif BPN, S.T., M.T.</v>
      </c>
      <c r="L64" s="228" t="str">
        <f>IF('PROGRAM JADWAL GENAP'!T63="","",'PROGRAM JADWAL GENAP'!T63)</f>
        <v/>
      </c>
    </row>
    <row r="65" spans="1:12" ht="40.049999999999997" customHeight="1" x14ac:dyDescent="0.3">
      <c r="A65" s="262"/>
      <c r="B65" s="138">
        <f>IF('PROGRAM JADWAL GENAP'!C64="","",'PROGRAM JADWAL GENAP'!C64)</f>
        <v>0.3125</v>
      </c>
      <c r="C65" s="138" t="str">
        <f>IF('PROGRAM JADWAL GENAP'!D64="","",'PROGRAM JADWAL GENAP'!D64)</f>
        <v>s/d</v>
      </c>
      <c r="D65" s="138">
        <f>IF('PROGRAM JADWAL GENAP'!E64="","",'PROGRAM JADWAL GENAP'!E64)</f>
        <v>0.41666666666666669</v>
      </c>
      <c r="E65" s="136" t="str">
        <f>IF('PROGRAM JADWAL GENAP'!H64="","",'PROGRAM JADWAL GENAP'!H64)</f>
        <v>INF­55201­516</v>
      </c>
      <c r="F65" s="137" t="str">
        <f>IF('PROGRAM JADWAL GENAP'!I64="","",'PROGRAM JADWAL GENAP'!I64)</f>
        <v xml:space="preserve">Data  Mining  </v>
      </c>
      <c r="G65" s="138" t="str">
        <f>IF('PROGRAM JADWAL GENAP'!M64="","",'PROGRAM JADWAL GENAP'!M64)</f>
        <v>C</v>
      </c>
      <c r="H65" s="139">
        <f>IF('PROGRAM JADWAL GENAP'!N64="","",'PROGRAM JADWAL GENAP'!N64)</f>
        <v>6</v>
      </c>
      <c r="I65" s="139">
        <f>IF('PROGRAM JADWAL GENAP'!O64="","",'PROGRAM JADWAL GENAP'!O64)</f>
        <v>3</v>
      </c>
      <c r="J65" s="139">
        <f>IF('PROGRAM JADWAL GENAP'!P64="","",'PROGRAM JADWAL GENAP'!P64)</f>
        <v>28</v>
      </c>
      <c r="K65" s="136" t="str">
        <f>IF('PROGRAM JADWAL GENAP'!S64="","",'PROGRAM JADWAL GENAP'!S64)</f>
        <v>Enda Esyudha Pratama, S.T., M.T. / Niken Candraningrum, S.T., M.Cs.</v>
      </c>
      <c r="L65" s="228" t="str">
        <f>IF('PROGRAM JADWAL GENAP'!T64="","",'PROGRAM JADWAL GENAP'!T64)</f>
        <v/>
      </c>
    </row>
    <row r="66" spans="1:12" ht="40.049999999999997" customHeight="1" x14ac:dyDescent="0.3">
      <c r="A66" s="262"/>
      <c r="B66" s="138" t="str">
        <f>IF('PROGRAM JADWAL GENAP'!C65="","",'PROGRAM JADWAL GENAP'!C65)</f>
        <v/>
      </c>
      <c r="C66" s="138" t="str">
        <f>IF('PROGRAM JADWAL GENAP'!D65="","",'PROGRAM JADWAL GENAP'!D65)</f>
        <v/>
      </c>
      <c r="D66" s="138" t="str">
        <f>IF('PROGRAM JADWAL GENAP'!E65="","",'PROGRAM JADWAL GENAP'!E65)</f>
        <v/>
      </c>
      <c r="E66" s="136" t="str">
        <f>IF('PROGRAM JADWAL GENAP'!H65="","",'PROGRAM JADWAL GENAP'!H65)</f>
        <v/>
      </c>
      <c r="F66" s="137" t="str">
        <f>IF('PROGRAM JADWAL GENAP'!I65="","",'PROGRAM JADWAL GENAP'!I65)</f>
        <v/>
      </c>
      <c r="G66" s="138" t="str">
        <f>IF('PROGRAM JADWAL GENAP'!M65="","",'PROGRAM JADWAL GENAP'!M65)</f>
        <v/>
      </c>
      <c r="H66" s="139" t="str">
        <f>IF('PROGRAM JADWAL GENAP'!N65="","",'PROGRAM JADWAL GENAP'!N65)</f>
        <v/>
      </c>
      <c r="I66" s="139" t="str">
        <f>IF('PROGRAM JADWAL GENAP'!O65="","",'PROGRAM JADWAL GENAP'!O65)</f>
        <v/>
      </c>
      <c r="J66" s="139" t="str">
        <f>IF('PROGRAM JADWAL GENAP'!P65="","",'PROGRAM JADWAL GENAP'!P65)</f>
        <v/>
      </c>
      <c r="K66" s="136" t="str">
        <f>IF('PROGRAM JADWAL GENAP'!S65="","",'PROGRAM JADWAL GENAP'!S65)</f>
        <v/>
      </c>
      <c r="L66" s="228" t="str">
        <f>IF('PROGRAM JADWAL GENAP'!T65="","",'PROGRAM JADWAL GENAP'!T65)</f>
        <v/>
      </c>
    </row>
    <row r="67" spans="1:12" ht="40.049999999999997" customHeight="1" x14ac:dyDescent="0.3">
      <c r="A67" s="262"/>
      <c r="B67" s="138">
        <f>IF('PROGRAM JADWAL GENAP'!C66="","",'PROGRAM JADWAL GENAP'!C66)</f>
        <v>0.4236111111111111</v>
      </c>
      <c r="C67" s="138" t="str">
        <f>IF('PROGRAM JADWAL GENAP'!D66="","",'PROGRAM JADWAL GENAP'!D66)</f>
        <v>s/d</v>
      </c>
      <c r="D67" s="138">
        <f>IF('PROGRAM JADWAL GENAP'!E66="","",'PROGRAM JADWAL GENAP'!E66)</f>
        <v>0.49305555555555558</v>
      </c>
      <c r="E67" s="136" t="str">
        <f>IF('PROGRAM JADWAL GENAP'!H66="","",'PROGRAM JADWAL GENAP'!H66)</f>
        <v>UMG-55201-102</v>
      </c>
      <c r="F67" s="137" t="str">
        <f>IF('PROGRAM JADWAL GENAP'!I66="","",'PROGRAM JADWAL GENAP'!I66)</f>
        <v>Bahasa Indonesia</v>
      </c>
      <c r="G67" s="138" t="str">
        <f>IF('PROGRAM JADWAL GENAP'!M66="","",'PROGRAM JADWAL GENAP'!M66)</f>
        <v>C</v>
      </c>
      <c r="H67" s="139">
        <f>IF('PROGRAM JADWAL GENAP'!N66="","",'PROGRAM JADWAL GENAP'!N66)</f>
        <v>2</v>
      </c>
      <c r="I67" s="139">
        <f>IF('PROGRAM JADWAL GENAP'!O66="","",'PROGRAM JADWAL GENAP'!O66)</f>
        <v>2</v>
      </c>
      <c r="J67" s="139">
        <f>IF('PROGRAM JADWAL GENAP'!P66="","",'PROGRAM JADWAL GENAP'!P66)</f>
        <v>28</v>
      </c>
      <c r="K67" s="136" t="str">
        <f>IF('PROGRAM JADWAL GENAP'!S66="","",'PROGRAM JADWAL GENAP'!S66)</f>
        <v>MKU</v>
      </c>
      <c r="L67" s="228" t="str">
        <f>IF('PROGRAM JADWAL GENAP'!T66="","",'PROGRAM JADWAL GENAP'!T66)</f>
        <v/>
      </c>
    </row>
    <row r="68" spans="1:12" ht="40.049999999999997" customHeight="1" x14ac:dyDescent="0.3">
      <c r="A68" s="262"/>
      <c r="B68" s="138">
        <f>IF('PROGRAM JADWAL GENAP'!C67="","",'PROGRAM JADWAL GENAP'!C67)</f>
        <v>0.4236111111111111</v>
      </c>
      <c r="C68" s="138" t="str">
        <f>IF('PROGRAM JADWAL GENAP'!D67="","",'PROGRAM JADWAL GENAP'!D67)</f>
        <v>s/d</v>
      </c>
      <c r="D68" s="138">
        <f>IF('PROGRAM JADWAL GENAP'!E67="","",'PROGRAM JADWAL GENAP'!E67)</f>
        <v>0.49305555555555558</v>
      </c>
      <c r="E68" s="136" t="str">
        <f>IF('PROGRAM JADWAL GENAP'!H67="","",'PROGRAM JADWAL GENAP'!H67)</f>
        <v>UMG-55201-102</v>
      </c>
      <c r="F68" s="137" t="str">
        <f>IF('PROGRAM JADWAL GENAP'!I67="","",'PROGRAM JADWAL GENAP'!I67)</f>
        <v>Bahasa Indonesia</v>
      </c>
      <c r="G68" s="138" t="str">
        <f>IF('PROGRAM JADWAL GENAP'!M67="","",'PROGRAM JADWAL GENAP'!M67)</f>
        <v>A</v>
      </c>
      <c r="H68" s="139">
        <f>IF('PROGRAM JADWAL GENAP'!N67="","",'PROGRAM JADWAL GENAP'!N67)</f>
        <v>2</v>
      </c>
      <c r="I68" s="139">
        <f>IF('PROGRAM JADWAL GENAP'!O67="","",'PROGRAM JADWAL GENAP'!O67)</f>
        <v>2</v>
      </c>
      <c r="J68" s="139">
        <f>IF('PROGRAM JADWAL GENAP'!P67="","",'PROGRAM JADWAL GENAP'!P67)</f>
        <v>28</v>
      </c>
      <c r="K68" s="136" t="str">
        <f>IF('PROGRAM JADWAL GENAP'!S67="","",'PROGRAM JADWAL GENAP'!S67)</f>
        <v>MKU</v>
      </c>
      <c r="L68" s="228" t="str">
        <f>IF('PROGRAM JADWAL GENAP'!T67="","",'PROGRAM JADWAL GENAP'!T67)</f>
        <v/>
      </c>
    </row>
    <row r="69" spans="1:12" ht="40.049999999999997" customHeight="1" x14ac:dyDescent="0.3">
      <c r="A69" s="262"/>
      <c r="B69" s="138">
        <f>IF('PROGRAM JADWAL GENAP'!C68="","",'PROGRAM JADWAL GENAP'!C68)</f>
        <v>0.4236111111111111</v>
      </c>
      <c r="C69" s="138" t="str">
        <f>IF('PROGRAM JADWAL GENAP'!D68="","",'PROGRAM JADWAL GENAP'!D68)</f>
        <v>s/d</v>
      </c>
      <c r="D69" s="138">
        <f>IF('PROGRAM JADWAL GENAP'!E68="","",'PROGRAM JADWAL GENAP'!E68)</f>
        <v>0.49305555555555558</v>
      </c>
      <c r="E69" s="136" t="str">
        <f>IF('PROGRAM JADWAL GENAP'!H68="","",'PROGRAM JADWAL GENAP'!H68)</f>
        <v>UMG-55201-104</v>
      </c>
      <c r="F69" s="137" t="str">
        <f>IF('PROGRAM JADWAL GENAP'!I68="","",'PROGRAM JADWAL GENAP'!I68)</f>
        <v>Kewarganegaraan</v>
      </c>
      <c r="G69" s="138" t="str">
        <f>IF('PROGRAM JADWAL GENAP'!M68="","",'PROGRAM JADWAL GENAP'!M68)</f>
        <v>B</v>
      </c>
      <c r="H69" s="139">
        <f>IF('PROGRAM JADWAL GENAP'!N68="","",'PROGRAM JADWAL GENAP'!N68)</f>
        <v>2</v>
      </c>
      <c r="I69" s="139">
        <f>IF('PROGRAM JADWAL GENAP'!O68="","",'PROGRAM JADWAL GENAP'!O68)</f>
        <v>2</v>
      </c>
      <c r="J69" s="139">
        <f>IF('PROGRAM JADWAL GENAP'!P68="","",'PROGRAM JADWAL GENAP'!P68)</f>
        <v>28</v>
      </c>
      <c r="K69" s="136" t="str">
        <f>IF('PROGRAM JADWAL GENAP'!S68="","",'PROGRAM JADWAL GENAP'!S68)</f>
        <v>MKU</v>
      </c>
      <c r="L69" s="228" t="str">
        <f>IF('PROGRAM JADWAL GENAP'!T68="","",'PROGRAM JADWAL GENAP'!T68)</f>
        <v/>
      </c>
    </row>
    <row r="70" spans="1:12" ht="40.049999999999997" customHeight="1" x14ac:dyDescent="0.3">
      <c r="A70" s="262"/>
      <c r="B70" s="138">
        <f>IF('PROGRAM JADWAL GENAP'!C69="","",'PROGRAM JADWAL GENAP'!C69)</f>
        <v>0.4236111111111111</v>
      </c>
      <c r="C70" s="138" t="str">
        <f>IF('PROGRAM JADWAL GENAP'!D69="","",'PROGRAM JADWAL GENAP'!D69)</f>
        <v>s/d</v>
      </c>
      <c r="D70" s="138">
        <f>IF('PROGRAM JADWAL GENAP'!E69="","",'PROGRAM JADWAL GENAP'!E69)</f>
        <v>0.49305555555555558</v>
      </c>
      <c r="E70" s="136" t="str">
        <f>IF('PROGRAM JADWAL GENAP'!H69="","",'PROGRAM JADWAL GENAP'!H69)</f>
        <v>UMG-55201-104</v>
      </c>
      <c r="F70" s="137" t="str">
        <f>IF('PROGRAM JADWAL GENAP'!I69="","",'PROGRAM JADWAL GENAP'!I69)</f>
        <v>Kewarganegaraan</v>
      </c>
      <c r="G70" s="138" t="str">
        <f>IF('PROGRAM JADWAL GENAP'!M69="","",'PROGRAM JADWAL GENAP'!M69)</f>
        <v>D</v>
      </c>
      <c r="H70" s="139">
        <f>IF('PROGRAM JADWAL GENAP'!N69="","",'PROGRAM JADWAL GENAP'!N69)</f>
        <v>2</v>
      </c>
      <c r="I70" s="139">
        <f>IF('PROGRAM JADWAL GENAP'!O69="","",'PROGRAM JADWAL GENAP'!O69)</f>
        <v>2</v>
      </c>
      <c r="J70" s="139">
        <f>IF('PROGRAM JADWAL GENAP'!P69="","",'PROGRAM JADWAL GENAP'!P69)</f>
        <v>28</v>
      </c>
      <c r="K70" s="136" t="str">
        <f>IF('PROGRAM JADWAL GENAP'!S69="","",'PROGRAM JADWAL GENAP'!S69)</f>
        <v>MKU</v>
      </c>
      <c r="L70" s="228" t="str">
        <f>IF('PROGRAM JADWAL GENAP'!T69="","",'PROGRAM JADWAL GENAP'!T69)</f>
        <v/>
      </c>
    </row>
    <row r="71" spans="1:12" ht="40.049999999999997" customHeight="1" x14ac:dyDescent="0.3">
      <c r="A71" s="262"/>
      <c r="B71" s="138" t="str">
        <f>IF('PROGRAM JADWAL GENAP'!C70="","",'PROGRAM JADWAL GENAP'!C70)</f>
        <v/>
      </c>
      <c r="C71" s="138" t="str">
        <f>IF('PROGRAM JADWAL GENAP'!D70="","",'PROGRAM JADWAL GENAP'!D70)</f>
        <v/>
      </c>
      <c r="D71" s="138" t="str">
        <f>IF('PROGRAM JADWAL GENAP'!E70="","",'PROGRAM JADWAL GENAP'!E70)</f>
        <v/>
      </c>
      <c r="E71" s="136" t="str">
        <f>IF('PROGRAM JADWAL GENAP'!H70="","",'PROGRAM JADWAL GENAP'!H70)</f>
        <v/>
      </c>
      <c r="F71" s="137" t="str">
        <f>IF('PROGRAM JADWAL GENAP'!I70="","",'PROGRAM JADWAL GENAP'!I70)</f>
        <v/>
      </c>
      <c r="G71" s="138" t="str">
        <f>IF('PROGRAM JADWAL GENAP'!M70="","",'PROGRAM JADWAL GENAP'!M70)</f>
        <v/>
      </c>
      <c r="H71" s="139" t="str">
        <f>IF('PROGRAM JADWAL GENAP'!N70="","",'PROGRAM JADWAL GENAP'!N70)</f>
        <v/>
      </c>
      <c r="I71" s="139" t="str">
        <f>IF('PROGRAM JADWAL GENAP'!O70="","",'PROGRAM JADWAL GENAP'!O70)</f>
        <v/>
      </c>
      <c r="J71" s="139" t="str">
        <f>IF('PROGRAM JADWAL GENAP'!P70="","",'PROGRAM JADWAL GENAP'!P70)</f>
        <v/>
      </c>
      <c r="K71" s="136" t="str">
        <f>IF('PROGRAM JADWAL GENAP'!S70="","",'PROGRAM JADWAL GENAP'!S70)</f>
        <v/>
      </c>
      <c r="L71" s="228" t="str">
        <f>IF('PROGRAM JADWAL GENAP'!T70="","",'PROGRAM JADWAL GENAP'!T70)</f>
        <v/>
      </c>
    </row>
    <row r="72" spans="1:12" ht="40.049999999999997" customHeight="1" x14ac:dyDescent="0.3">
      <c r="A72" s="262"/>
      <c r="B72" s="138">
        <f>IF('PROGRAM JADWAL GENAP'!C71="","",'PROGRAM JADWAL GENAP'!C71)</f>
        <v>0.53125</v>
      </c>
      <c r="C72" s="138" t="str">
        <f>IF('PROGRAM JADWAL GENAP'!D71="","",'PROGRAM JADWAL GENAP'!D71)</f>
        <v>s/d</v>
      </c>
      <c r="D72" s="138">
        <f>IF('PROGRAM JADWAL GENAP'!E71="","",'PROGRAM JADWAL GENAP'!E71)</f>
        <v>0.60069444444444442</v>
      </c>
      <c r="E72" s="136" t="str">
        <f>IF('PROGRAM JADWAL GENAP'!H71="","",'PROGRAM JADWAL GENAP'!H71)</f>
        <v>INF-55201-109</v>
      </c>
      <c r="F72" s="137" t="str">
        <f>IF('PROGRAM JADWAL GENAP'!I71="","",'PROGRAM JADWAL GENAP'!I71)</f>
        <v>Struktur  Data  dan Algoritma*</v>
      </c>
      <c r="G72" s="138" t="str">
        <f>IF('PROGRAM JADWAL GENAP'!M71="","",'PROGRAM JADWAL GENAP'!M71)</f>
        <v>C</v>
      </c>
      <c r="H72" s="139">
        <f>IF('PROGRAM JADWAL GENAP'!N71="","",'PROGRAM JADWAL GENAP'!N71)</f>
        <v>2</v>
      </c>
      <c r="I72" s="139">
        <f>IF('PROGRAM JADWAL GENAP'!O71="","",'PROGRAM JADWAL GENAP'!O71)</f>
        <v>4</v>
      </c>
      <c r="J72" s="139">
        <f>IF('PROGRAM JADWAL GENAP'!P71="","",'PROGRAM JADWAL GENAP'!P71)</f>
        <v>35</v>
      </c>
      <c r="K72" s="136" t="str">
        <f>IF('PROGRAM JADWAL GENAP'!S71="","",'PROGRAM JADWAL GENAP'!S71)</f>
        <v>Morteza Muthahhari, S.Kom., M.T.I / Fauzan Asrin, S.Kom, M. Kom.</v>
      </c>
      <c r="L72" s="228" t="str">
        <f>IF('PROGRAM JADWAL GENAP'!T71="","",'PROGRAM JADWAL GENAP'!T71)</f>
        <v/>
      </c>
    </row>
    <row r="73" spans="1:12" ht="40.049999999999997" customHeight="1" x14ac:dyDescent="0.3">
      <c r="A73" s="262"/>
      <c r="B73" s="138">
        <f>IF('PROGRAM JADWAL GENAP'!C72="","",'PROGRAM JADWAL GENAP'!C72)</f>
        <v>0.53125</v>
      </c>
      <c r="C73" s="138" t="str">
        <f>IF('PROGRAM JADWAL GENAP'!D72="","",'PROGRAM JADWAL GENAP'!D72)</f>
        <v>s/d</v>
      </c>
      <c r="D73" s="138">
        <f>IF('PROGRAM JADWAL GENAP'!E72="","",'PROGRAM JADWAL GENAP'!E72)</f>
        <v>0.60069444444444442</v>
      </c>
      <c r="E73" s="136" t="str">
        <f>IF('PROGRAM JADWAL GENAP'!H72="","",'PROGRAM JADWAL GENAP'!H72)</f>
        <v>INF-55201-208</v>
      </c>
      <c r="F73" s="137" t="str">
        <f>IF('PROGRAM JADWAL GENAP'!I72="","",'PROGRAM JADWAL GENAP'!I72)</f>
        <v>Manajemen Basis Data*</v>
      </c>
      <c r="G73" s="138" t="str">
        <f>IF('PROGRAM JADWAL GENAP'!M72="","",'PROGRAM JADWAL GENAP'!M72)</f>
        <v>A</v>
      </c>
      <c r="H73" s="139">
        <f>IF('PROGRAM JADWAL GENAP'!N72="","",'PROGRAM JADWAL GENAP'!N72)</f>
        <v>4</v>
      </c>
      <c r="I73" s="139">
        <f>IF('PROGRAM JADWAL GENAP'!O72="","",'PROGRAM JADWAL GENAP'!O72)</f>
        <v>4</v>
      </c>
      <c r="J73" s="139">
        <f>IF('PROGRAM JADWAL GENAP'!P72="","",'PROGRAM JADWAL GENAP'!P72)</f>
        <v>35</v>
      </c>
      <c r="K73" s="136" t="str">
        <f>IF('PROGRAM JADWAL GENAP'!S72="","",'PROGRAM JADWAL GENAP'!S72)</f>
        <v>Helen Sastypratiwi, S.T., M.Eng / Haried Novriando, S.Kom, M.Eng</v>
      </c>
      <c r="L73" s="228" t="str">
        <f>IF('PROGRAM JADWAL GENAP'!T72="","",'PROGRAM JADWAL GENAP'!T72)</f>
        <v/>
      </c>
    </row>
    <row r="74" spans="1:12" ht="40.049999999999997" customHeight="1" x14ac:dyDescent="0.3">
      <c r="A74" s="262"/>
      <c r="B74" s="138">
        <f>IF('PROGRAM JADWAL GENAP'!C73="","",'PROGRAM JADWAL GENAP'!C73)</f>
        <v>0.53125</v>
      </c>
      <c r="C74" s="138" t="str">
        <f>IF('PROGRAM JADWAL GENAP'!D73="","",'PROGRAM JADWAL GENAP'!D73)</f>
        <v>s/d</v>
      </c>
      <c r="D74" s="138">
        <f>IF('PROGRAM JADWAL GENAP'!E73="","",'PROGRAM JADWAL GENAP'!E73)</f>
        <v>0.60069444444444442</v>
      </c>
      <c r="E74" s="136" t="str">
        <f>IF('PROGRAM JADWAL GENAP'!H73="","",'PROGRAM JADWAL GENAP'!H73)</f>
        <v>INF-55201-211</v>
      </c>
      <c r="F74" s="137" t="str">
        <f>IF('PROGRAM JADWAL GENAP'!I73="","",'PROGRAM JADWAL GENAP'!I73)</f>
        <v>Pemrograman  Berorientasi  Objek * </v>
      </c>
      <c r="G74" s="138" t="str">
        <f>IF('PROGRAM JADWAL GENAP'!M73="","",'PROGRAM JADWAL GENAP'!M73)</f>
        <v>C</v>
      </c>
      <c r="H74" s="139">
        <f>IF('PROGRAM JADWAL GENAP'!N73="","",'PROGRAM JADWAL GENAP'!N73)</f>
        <v>4</v>
      </c>
      <c r="I74" s="139">
        <f>IF('PROGRAM JADWAL GENAP'!O73="","",'PROGRAM JADWAL GENAP'!O73)</f>
        <v>4</v>
      </c>
      <c r="J74" s="139">
        <f>IF('PROGRAM JADWAL GENAP'!P73="","",'PROGRAM JADWAL GENAP'!P73)</f>
        <v>35</v>
      </c>
      <c r="K74" s="136" t="str">
        <f>IF('PROGRAM JADWAL GENAP'!S73="","",'PROGRAM JADWAL GENAP'!S73)</f>
        <v>Novi Safriadi, S.T., M.T. / Khairul Hafidh, S.T., M.Kom.</v>
      </c>
      <c r="L74" s="228" t="str">
        <f>IF('PROGRAM JADWAL GENAP'!T73="","",'PROGRAM JADWAL GENAP'!T73)</f>
        <v/>
      </c>
    </row>
    <row r="75" spans="1:12" ht="40.049999999999997" customHeight="1" x14ac:dyDescent="0.3">
      <c r="A75" s="262"/>
      <c r="B75" s="138">
        <f>IF('PROGRAM JADWAL GENAP'!C74="","",'PROGRAM JADWAL GENAP'!C74)</f>
        <v>0.53125</v>
      </c>
      <c r="C75" s="138" t="str">
        <f>IF('PROGRAM JADWAL GENAP'!D74="","",'PROGRAM JADWAL GENAP'!D74)</f>
        <v>s/d</v>
      </c>
      <c r="D75" s="138">
        <f>IF('PROGRAM JADWAL GENAP'!E74="","",'PROGRAM JADWAL GENAP'!E74)</f>
        <v>0.60069444444444442</v>
      </c>
      <c r="E75" s="136" t="str">
        <f>IF('PROGRAM JADWAL GENAP'!H74="","",'PROGRAM JADWAL GENAP'!H74)</f>
        <v xml:space="preserve"> INF-55201-316</v>
      </c>
      <c r="F75" s="137" t="str">
        <f>IF('PROGRAM JADWAL GENAP'!I74="","",'PROGRAM JADWAL GENAP'!I74)</f>
        <v>Proyek Perangkat  Lunak*</v>
      </c>
      <c r="G75" s="138" t="str">
        <f>IF('PROGRAM JADWAL GENAP'!M74="","",'PROGRAM JADWAL GENAP'!M74)</f>
        <v>A</v>
      </c>
      <c r="H75" s="139">
        <f>IF('PROGRAM JADWAL GENAP'!N74="","",'PROGRAM JADWAL GENAP'!N74)</f>
        <v>6</v>
      </c>
      <c r="I75" s="139">
        <f>IF('PROGRAM JADWAL GENAP'!O74="","",'PROGRAM JADWAL GENAP'!O74)</f>
        <v>4</v>
      </c>
      <c r="J75" s="139">
        <f>IF('PROGRAM JADWAL GENAP'!P74="","",'PROGRAM JADWAL GENAP'!P74)</f>
        <v>35</v>
      </c>
      <c r="K75" s="136" t="str">
        <f>IF('PROGRAM JADWAL GENAP'!S74="","",'PROGRAM JADWAL GENAP'!S74)</f>
        <v>Anggi Perwitasari, S.T., M.T. / Desepta Isna Ulumi, S.Kom, M.Kom.</v>
      </c>
      <c r="L75" s="228" t="str">
        <f>IF('PROGRAM JADWAL GENAP'!T74="","",'PROGRAM JADWAL GENAP'!T74)</f>
        <v/>
      </c>
    </row>
    <row r="76" spans="1:12" ht="40.049999999999997" customHeight="1" x14ac:dyDescent="0.3">
      <c r="A76" s="262"/>
      <c r="B76" s="138" t="str">
        <f>IF('PROGRAM JADWAL GENAP'!C75="","",'PROGRAM JADWAL GENAP'!C75)</f>
        <v/>
      </c>
      <c r="C76" s="138" t="str">
        <f>IF('PROGRAM JADWAL GENAP'!D75="","",'PROGRAM JADWAL GENAP'!D75)</f>
        <v/>
      </c>
      <c r="D76" s="138" t="str">
        <f>IF('PROGRAM JADWAL GENAP'!E75="","",'PROGRAM JADWAL GENAP'!E75)</f>
        <v/>
      </c>
      <c r="E76" s="136" t="str">
        <f>IF('PROGRAM JADWAL GENAP'!H75="","",'PROGRAM JADWAL GENAP'!H75)</f>
        <v/>
      </c>
      <c r="F76" s="137" t="str">
        <f>IF('PROGRAM JADWAL GENAP'!I75="","",'PROGRAM JADWAL GENAP'!I75)</f>
        <v/>
      </c>
      <c r="G76" s="138" t="str">
        <f>IF('PROGRAM JADWAL GENAP'!M75="","",'PROGRAM JADWAL GENAP'!M75)</f>
        <v/>
      </c>
      <c r="H76" s="139" t="str">
        <f>IF('PROGRAM JADWAL GENAP'!N75="","",'PROGRAM JADWAL GENAP'!N75)</f>
        <v/>
      </c>
      <c r="I76" s="139" t="str">
        <f>IF('PROGRAM JADWAL GENAP'!O75="","",'PROGRAM JADWAL GENAP'!O75)</f>
        <v/>
      </c>
      <c r="J76" s="139" t="str">
        <f>IF('PROGRAM JADWAL GENAP'!P75="","",'PROGRAM JADWAL GENAP'!P75)</f>
        <v/>
      </c>
      <c r="K76" s="136" t="str">
        <f>IF('PROGRAM JADWAL GENAP'!S75="","",'PROGRAM JADWAL GENAP'!S75)</f>
        <v/>
      </c>
      <c r="L76" s="228" t="str">
        <f>IF('PROGRAM JADWAL GENAP'!T75="","",'PROGRAM JADWAL GENAP'!T75)</f>
        <v/>
      </c>
    </row>
    <row r="77" spans="1:12" ht="40.049999999999997" customHeight="1" x14ac:dyDescent="0.3">
      <c r="A77" s="262"/>
      <c r="B77" s="138">
        <f>IF('PROGRAM JADWAL GENAP'!C76="","",'PROGRAM JADWAL GENAP'!C76)</f>
        <v>0.60763888888888895</v>
      </c>
      <c r="C77" s="138" t="str">
        <f>IF('PROGRAM JADWAL GENAP'!D76="","",'PROGRAM JADWAL GENAP'!D76)</f>
        <v>s/d</v>
      </c>
      <c r="D77" s="138">
        <f>IF('PROGRAM JADWAL GENAP'!E76="","",'PROGRAM JADWAL GENAP'!E76)</f>
        <v>0.71180555555555558</v>
      </c>
      <c r="E77" s="136" t="str">
        <f>IF('PROGRAM JADWAL GENAP'!H76="","",'PROGRAM JADWAL GENAP'!H76)</f>
        <v>INF-55201-107</v>
      </c>
      <c r="F77" s="137" t="str">
        <f>IF('PROGRAM JADWAL GENAP'!I76="","",'PROGRAM JADWAL GENAP'!I76)</f>
        <v>Organisasi  dan Arsitektur Komputer  </v>
      </c>
      <c r="G77" s="138" t="str">
        <f>IF('PROGRAM JADWAL GENAP'!M76="","",'PROGRAM JADWAL GENAP'!M76)</f>
        <v>C</v>
      </c>
      <c r="H77" s="139">
        <f>IF('PROGRAM JADWAL GENAP'!N76="","",'PROGRAM JADWAL GENAP'!N76)</f>
        <v>2</v>
      </c>
      <c r="I77" s="139">
        <f>IF('PROGRAM JADWAL GENAP'!O76="","",'PROGRAM JADWAL GENAP'!O76)</f>
        <v>3</v>
      </c>
      <c r="J77" s="139">
        <f>IF('PROGRAM JADWAL GENAP'!P76="","",'PROGRAM JADWAL GENAP'!P76)</f>
        <v>28</v>
      </c>
      <c r="K77" s="136" t="str">
        <f>IF('PROGRAM JADWAL GENAP'!S76="","",'PROGRAM JADWAL GENAP'!S76)</f>
        <v>Morteza Muthahhari, S.Kom., M.T.I / Alfian Abdul Jalid, S.Kom., M.Cs.</v>
      </c>
      <c r="L77" s="228" t="str">
        <f>IF('PROGRAM JADWAL GENAP'!T76="","",'PROGRAM JADWAL GENAP'!T76)</f>
        <v/>
      </c>
    </row>
    <row r="78" spans="1:12" ht="40.049999999999997" customHeight="1" x14ac:dyDescent="0.3">
      <c r="A78" s="262"/>
      <c r="B78" s="138">
        <f>IF('PROGRAM JADWAL GENAP'!C77="","",'PROGRAM JADWAL GENAP'!C77)</f>
        <v>0.60763888888888895</v>
      </c>
      <c r="C78" s="138" t="str">
        <f>IF('PROGRAM JADWAL GENAP'!D77="","",'PROGRAM JADWAL GENAP'!D77)</f>
        <v>s/d</v>
      </c>
      <c r="D78" s="138">
        <f>IF('PROGRAM JADWAL GENAP'!E77="","",'PROGRAM JADWAL GENAP'!E77)</f>
        <v>0.71180555555555558</v>
      </c>
      <c r="E78" s="136" t="str">
        <f>IF('PROGRAM JADWAL GENAP'!H77="","",'PROGRAM JADWAL GENAP'!H77)</f>
        <v>INF-55201-105</v>
      </c>
      <c r="F78" s="137" t="str">
        <f>IF('PROGRAM JADWAL GENAP'!I77="","",'PROGRAM JADWAL GENAP'!I77)</f>
        <v>Probabilitas  dan  Statistik  </v>
      </c>
      <c r="G78" s="138" t="str">
        <f>IF('PROGRAM JADWAL GENAP'!M77="","",'PROGRAM JADWAL GENAP'!M77)</f>
        <v>A</v>
      </c>
      <c r="H78" s="139">
        <f>IF('PROGRAM JADWAL GENAP'!N77="","",'PROGRAM JADWAL GENAP'!N77)</f>
        <v>2</v>
      </c>
      <c r="I78" s="139">
        <f>IF('PROGRAM JADWAL GENAP'!O77="","",'PROGRAM JADWAL GENAP'!O77)</f>
        <v>3</v>
      </c>
      <c r="J78" s="139">
        <f>IF('PROGRAM JADWAL GENAP'!P77="","",'PROGRAM JADWAL GENAP'!P77)</f>
        <v>28</v>
      </c>
      <c r="K78" s="136" t="str">
        <f>IF('PROGRAM JADWAL GENAP'!S77="","",'PROGRAM JADWAL GENAP'!S77)</f>
        <v>Helen Sastypratiwi, S.T., M.Eng / Rina Septiriana, S.T., M.Cs.</v>
      </c>
      <c r="L78" s="228" t="str">
        <f>IF('PROGRAM JADWAL GENAP'!T77="","",'PROGRAM JADWAL GENAP'!T77)</f>
        <v/>
      </c>
    </row>
    <row r="79" spans="1:12" ht="40.049999999999997" customHeight="1" x14ac:dyDescent="0.3">
      <c r="A79" s="262"/>
      <c r="B79" s="138">
        <f>IF('PROGRAM JADWAL GENAP'!C78="","",'PROGRAM JADWAL GENAP'!C78)</f>
        <v>0.60763888888888895</v>
      </c>
      <c r="C79" s="138" t="str">
        <f>IF('PROGRAM JADWAL GENAP'!D78="","",'PROGRAM JADWAL GENAP'!D78)</f>
        <v>s/d</v>
      </c>
      <c r="D79" s="138">
        <f>IF('PROGRAM JADWAL GENAP'!E78="","",'PROGRAM JADWAL GENAP'!E78)</f>
        <v>0.71180555555555558</v>
      </c>
      <c r="E79" s="136" t="str">
        <f>IF('PROGRAM JADWAL GENAP'!H78="","",'PROGRAM JADWAL GENAP'!H78)</f>
        <v>INF-55201-210</v>
      </c>
      <c r="F79" s="137" t="str">
        <f>IF('PROGRAM JADWAL GENAP'!I78="","",'PROGRAM JADWAL GENAP'!I78)</f>
        <v>Sistem Paralel dan Terdistribusi</v>
      </c>
      <c r="G79" s="138" t="str">
        <f>IF('PROGRAM JADWAL GENAP'!M78="","",'PROGRAM JADWAL GENAP'!M78)</f>
        <v>C</v>
      </c>
      <c r="H79" s="139">
        <f>IF('PROGRAM JADWAL GENAP'!N78="","",'PROGRAM JADWAL GENAP'!N78)</f>
        <v>4</v>
      </c>
      <c r="I79" s="139">
        <f>IF('PROGRAM JADWAL GENAP'!O78="","",'PROGRAM JADWAL GENAP'!O78)</f>
        <v>3</v>
      </c>
      <c r="J79" s="139">
        <f>IF('PROGRAM JADWAL GENAP'!P78="","",'PROGRAM JADWAL GENAP'!P78)</f>
        <v>28</v>
      </c>
      <c r="K79" s="136" t="str">
        <f>IF('PROGRAM JADWAL GENAP'!S78="","",'PROGRAM JADWAL GENAP'!S78)</f>
        <v>Helfi Nasution, S.Kom, M.Cs</v>
      </c>
      <c r="L79" s="228" t="str">
        <f>IF('PROGRAM JADWAL GENAP'!T78="","",'PROGRAM JADWAL GENAP'!T78)</f>
        <v/>
      </c>
    </row>
    <row r="80" spans="1:12" ht="40.049999999999997" customHeight="1" x14ac:dyDescent="0.3">
      <c r="A80" s="262"/>
      <c r="B80" s="138">
        <f>IF('PROGRAM JADWAL GENAP'!C79="","",'PROGRAM JADWAL GENAP'!C79)</f>
        <v>0.60763888888888895</v>
      </c>
      <c r="C80" s="138" t="str">
        <f>IF('PROGRAM JADWAL GENAP'!D79="","",'PROGRAM JADWAL GENAP'!D79)</f>
        <v>s/d</v>
      </c>
      <c r="D80" s="138">
        <f>IF('PROGRAM JADWAL GENAP'!E79="","",'PROGRAM JADWAL GENAP'!E79)</f>
        <v>0.71180555555555558</v>
      </c>
      <c r="E80" s="136" t="str">
        <f>IF('PROGRAM JADWAL GENAP'!H79="","",'PROGRAM JADWAL GENAP'!H79)</f>
        <v>INF-55201-212</v>
      </c>
      <c r="F80" s="137" t="str">
        <f>IF('PROGRAM JADWAL GENAP'!I79="","",'PROGRAM JADWAL GENAP'!I79)</f>
        <v>Analisis  dan  Perancangan  Sistem  </v>
      </c>
      <c r="G80" s="138" t="str">
        <f>IF('PROGRAM JADWAL GENAP'!M79="","",'PROGRAM JADWAL GENAP'!M79)</f>
        <v>A</v>
      </c>
      <c r="H80" s="139">
        <f>IF('PROGRAM JADWAL GENAP'!N79="","",'PROGRAM JADWAL GENAP'!N79)</f>
        <v>4</v>
      </c>
      <c r="I80" s="139">
        <f>IF('PROGRAM JADWAL GENAP'!O79="","",'PROGRAM JADWAL GENAP'!O79)</f>
        <v>3</v>
      </c>
      <c r="J80" s="139">
        <f>IF('PROGRAM JADWAL GENAP'!P79="","",'PROGRAM JADWAL GENAP'!P79)</f>
        <v>28</v>
      </c>
      <c r="K80" s="136" t="str">
        <f>IF('PROGRAM JADWAL GENAP'!S79="","",'PROGRAM JADWAL GENAP'!S79)</f>
        <v>Eva Faja Ripanti, S.Kom, MMSI, Ph.D / Niken Candraningrum, S.T., M.Cs.</v>
      </c>
      <c r="L80" s="228" t="str">
        <f>IF('PROGRAM JADWAL GENAP'!T79="","",'PROGRAM JADWAL GENAP'!T79)</f>
        <v/>
      </c>
    </row>
    <row r="81" spans="1:12" ht="40.049999999999997" customHeight="1" x14ac:dyDescent="0.3">
      <c r="A81" s="262"/>
      <c r="B81" s="138">
        <f>IF('PROGRAM JADWAL GENAP'!C80="","",'PROGRAM JADWAL GENAP'!C80)</f>
        <v>0.60763888888888895</v>
      </c>
      <c r="C81" s="138" t="str">
        <f>IF('PROGRAM JADWAL GENAP'!D80="","",'PROGRAM JADWAL GENAP'!D80)</f>
        <v>s/d</v>
      </c>
      <c r="D81" s="138">
        <f>IF('PROGRAM JADWAL GENAP'!E80="","",'PROGRAM JADWAL GENAP'!E80)</f>
        <v>0.71180555555555558</v>
      </c>
      <c r="E81" s="136" t="str">
        <f>IF('PROGRAM JADWAL GENAP'!H80="","",'PROGRAM JADWAL GENAP'!H80)</f>
        <v xml:space="preserve"> INF-55201-315</v>
      </c>
      <c r="F81" s="137" t="str">
        <f>IF('PROGRAM JADWAL GENAP'!I80="","",'PROGRAM JADWAL GENAP'!I80)</f>
        <v>MK Pilihan Wajib Multimedia &amp; SIG (SIG)</v>
      </c>
      <c r="G81" s="138" t="str">
        <f>IF('PROGRAM JADWAL GENAP'!M80="","",'PROGRAM JADWAL GENAP'!M80)</f>
        <v>C</v>
      </c>
      <c r="H81" s="139">
        <f>IF('PROGRAM JADWAL GENAP'!N80="","",'PROGRAM JADWAL GENAP'!N80)</f>
        <v>6</v>
      </c>
      <c r="I81" s="139">
        <f>IF('PROGRAM JADWAL GENAP'!O80="","",'PROGRAM JADWAL GENAP'!O80)</f>
        <v>3</v>
      </c>
      <c r="J81" s="139">
        <f>IF('PROGRAM JADWAL GENAP'!P80="","",'PROGRAM JADWAL GENAP'!P80)</f>
        <v>28</v>
      </c>
      <c r="K81" s="136" t="str">
        <f>IF('PROGRAM JADWAL GENAP'!S80="","",'PROGRAM JADWAL GENAP'!S80)</f>
        <v>Dr. Yus Sholva, S.T., M.T. / M.Azhar Irwansyah, S.T.,M.Eng.</v>
      </c>
      <c r="L81" s="228" t="str">
        <f>IF('PROGRAM JADWAL GENAP'!T80="","",'PROGRAM JADWAL GENAP'!T80)</f>
        <v/>
      </c>
    </row>
    <row r="82" spans="1:12" ht="40.049999999999997" customHeight="1" x14ac:dyDescent="0.3">
      <c r="A82" s="263"/>
      <c r="B82" s="138">
        <f>IF('PROGRAM JADWAL GENAP'!C81="","",'PROGRAM JADWAL GENAP'!C81)</f>
        <v>0.60763888888888895</v>
      </c>
      <c r="C82" s="138" t="str">
        <f>IF('PROGRAM JADWAL GENAP'!D81="","",'PROGRAM JADWAL GENAP'!D81)</f>
        <v>s/d</v>
      </c>
      <c r="D82" s="138">
        <f>IF('PROGRAM JADWAL GENAP'!E81="","",'PROGRAM JADWAL GENAP'!E81)</f>
        <v>0.71180555555555558</v>
      </c>
      <c r="E82" s="136" t="str">
        <f>IF('PROGRAM JADWAL GENAP'!H81="","",'PROGRAM JADWAL GENAP'!H81)</f>
        <v xml:space="preserve"> INF-55201-314</v>
      </c>
      <c r="F82" s="137" t="str">
        <f>IF('PROGRAM JADWAL GENAP'!I81="","",'PROGRAM JADWAL GENAP'!I81)</f>
        <v>MK Pilihan Wajib  Jaringan (Jaringan  Nirkabel  )</v>
      </c>
      <c r="G82" s="138" t="str">
        <f>IF('PROGRAM JADWAL GENAP'!M81="","",'PROGRAM JADWAL GENAP'!M81)</f>
        <v>A</v>
      </c>
      <c r="H82" s="139">
        <f>IF('PROGRAM JADWAL GENAP'!N81="","",'PROGRAM JADWAL GENAP'!N81)</f>
        <v>6</v>
      </c>
      <c r="I82" s="139">
        <f>IF('PROGRAM JADWAL GENAP'!O81="","",'PROGRAM JADWAL GENAP'!O81)</f>
        <v>3</v>
      </c>
      <c r="J82" s="139">
        <f>IF('PROGRAM JADWAL GENAP'!P81="","",'PROGRAM JADWAL GENAP'!P81)</f>
        <v>28</v>
      </c>
      <c r="K82" s="136" t="str">
        <f>IF('PROGRAM JADWAL GENAP'!S81="","",'PROGRAM JADWAL GENAP'!S81)</f>
        <v>Heri Priyanto,S.T., M.T. / Prof. Dr. Eng. Ir. Rudi Kurnianto, S.T., M.T., IPM.</v>
      </c>
      <c r="L82" s="228" t="str">
        <f>IF('PROGRAM JADWAL GENAP'!T81="","",'PROGRAM JADWAL GENAP'!T81)</f>
        <v/>
      </c>
    </row>
    <row r="83" spans="1:12" ht="40.049999999999997" customHeight="1" x14ac:dyDescent="0.3">
      <c r="A83" s="254" t="str">
        <f>IF('PROGRAM JADWAL GENAP'!B82="","",'PROGRAM JADWAL GENAP'!B82)</f>
        <v/>
      </c>
      <c r="B83" s="138" t="str">
        <f>IF('PROGRAM JADWAL GENAP'!C82="","",'PROGRAM JADWAL GENAP'!C82)</f>
        <v/>
      </c>
      <c r="C83" s="138" t="str">
        <f>IF('PROGRAM JADWAL GENAP'!D82="","",'PROGRAM JADWAL GENAP'!D82)</f>
        <v/>
      </c>
      <c r="D83" s="138" t="str">
        <f>IF('PROGRAM JADWAL GENAP'!E82="","",'PROGRAM JADWAL GENAP'!E82)</f>
        <v/>
      </c>
      <c r="E83" s="136" t="str">
        <f>IF('PROGRAM JADWAL GENAP'!H82="","",'PROGRAM JADWAL GENAP'!H82)</f>
        <v/>
      </c>
      <c r="F83" s="137" t="str">
        <f>IF('PROGRAM JADWAL GENAP'!I82="","",'PROGRAM JADWAL GENAP'!I82)</f>
        <v/>
      </c>
      <c r="G83" s="138" t="str">
        <f>IF('PROGRAM JADWAL GENAP'!M82="","",'PROGRAM JADWAL GENAP'!M82)</f>
        <v/>
      </c>
      <c r="H83" s="139" t="str">
        <f>IF('PROGRAM JADWAL GENAP'!N82="","",'PROGRAM JADWAL GENAP'!N82)</f>
        <v/>
      </c>
      <c r="I83" s="139" t="str">
        <f>IF('PROGRAM JADWAL GENAP'!O82="","",'PROGRAM JADWAL GENAP'!O82)</f>
        <v/>
      </c>
      <c r="J83" s="139" t="str">
        <f>IF('PROGRAM JADWAL GENAP'!P82="","",'PROGRAM JADWAL GENAP'!P82)</f>
        <v/>
      </c>
      <c r="K83" s="136" t="str">
        <f>IF('PROGRAM JADWAL GENAP'!S82="","",'PROGRAM JADWAL GENAP'!S82)</f>
        <v/>
      </c>
      <c r="L83" s="228" t="str">
        <f>IF('PROGRAM JADWAL GENAP'!T82="","",'PROGRAM JADWAL GENAP'!T82)</f>
        <v/>
      </c>
    </row>
    <row r="84" spans="1:12" ht="40.049999999999997" customHeight="1" x14ac:dyDescent="0.3">
      <c r="A84" s="254" t="str">
        <f>IF('PROGRAM JADWAL GENAP'!B83="","",'PROGRAM JADWAL GENAP'!B83)</f>
        <v/>
      </c>
      <c r="B84" s="138" t="str">
        <f>IF('PROGRAM JADWAL GENAP'!C83="","",'PROGRAM JADWAL GENAP'!C83)</f>
        <v/>
      </c>
      <c r="C84" s="138" t="str">
        <f>IF('PROGRAM JADWAL GENAP'!D83="","",'PROGRAM JADWAL GENAP'!D83)</f>
        <v/>
      </c>
      <c r="D84" s="138" t="str">
        <f>IF('PROGRAM JADWAL GENAP'!E83="","",'PROGRAM JADWAL GENAP'!E83)</f>
        <v/>
      </c>
      <c r="E84" s="136" t="str">
        <f>IF('PROGRAM JADWAL GENAP'!H83="","",'PROGRAM JADWAL GENAP'!H83)</f>
        <v/>
      </c>
      <c r="F84" s="137" t="str">
        <f>IF('PROGRAM JADWAL GENAP'!I83="","",'PROGRAM JADWAL GENAP'!I83)</f>
        <v/>
      </c>
      <c r="G84" s="138" t="str">
        <f>IF('PROGRAM JADWAL GENAP'!M83="","",'PROGRAM JADWAL GENAP'!M83)</f>
        <v/>
      </c>
      <c r="H84" s="139" t="str">
        <f>IF('PROGRAM JADWAL GENAP'!N83="","",'PROGRAM JADWAL GENAP'!N83)</f>
        <v/>
      </c>
      <c r="I84" s="139" t="str">
        <f>IF('PROGRAM JADWAL GENAP'!O83="","",'PROGRAM JADWAL GENAP'!O83)</f>
        <v/>
      </c>
      <c r="J84" s="139" t="str">
        <f>IF('PROGRAM JADWAL GENAP'!P83="","",'PROGRAM JADWAL GENAP'!P83)</f>
        <v/>
      </c>
      <c r="K84" s="136" t="str">
        <f>IF('PROGRAM JADWAL GENAP'!S83="","",'PROGRAM JADWAL GENAP'!S83)</f>
        <v/>
      </c>
      <c r="L84" s="228" t="str">
        <f>IF('PROGRAM JADWAL GENAP'!T83="","",'PROGRAM JADWAL GENAP'!T83)</f>
        <v/>
      </c>
    </row>
    <row r="85" spans="1:12" ht="40.049999999999997" customHeight="1" x14ac:dyDescent="0.3">
      <c r="A85" s="261" t="str">
        <f>IF('PROGRAM JADWAL GENAP'!B84="","",'PROGRAM JADWAL GENAP'!B84)</f>
        <v>Kamis</v>
      </c>
      <c r="B85" s="138">
        <f>IF('PROGRAM JADWAL GENAP'!C84="","",'PROGRAM JADWAL GENAP'!C84)</f>
        <v>0.3125</v>
      </c>
      <c r="C85" s="138" t="str">
        <f>IF('PROGRAM JADWAL GENAP'!D84="","",'PROGRAM JADWAL GENAP'!D84)</f>
        <v>s/d</v>
      </c>
      <c r="D85" s="138">
        <f>IF('PROGRAM JADWAL GENAP'!E84="","",'PROGRAM JADWAL GENAP'!E84)</f>
        <v>0.38194444444444442</v>
      </c>
      <c r="E85" s="136" t="str">
        <f>IF('PROGRAM JADWAL GENAP'!H84="","",'PROGRAM JADWAL GENAP'!H84)</f>
        <v>INF-55201-109</v>
      </c>
      <c r="F85" s="137" t="str">
        <f>IF('PROGRAM JADWAL GENAP'!I84="","",'PROGRAM JADWAL GENAP'!I84)</f>
        <v>Struktur  Data  dan Algoritma*</v>
      </c>
      <c r="G85" s="138" t="str">
        <f>IF('PROGRAM JADWAL GENAP'!M84="","",'PROGRAM JADWAL GENAP'!M84)</f>
        <v>A</v>
      </c>
      <c r="H85" s="139">
        <f>IF('PROGRAM JADWAL GENAP'!N84="","",'PROGRAM JADWAL GENAP'!N84)</f>
        <v>2</v>
      </c>
      <c r="I85" s="139">
        <f>IF('PROGRAM JADWAL GENAP'!O84="","",'PROGRAM JADWAL GENAP'!O84)</f>
        <v>4</v>
      </c>
      <c r="J85" s="139">
        <f>IF('PROGRAM JADWAL GENAP'!P84="","",'PROGRAM JADWAL GENAP'!P84)</f>
        <v>35</v>
      </c>
      <c r="K85" s="136" t="str">
        <f>IF('PROGRAM JADWAL GENAP'!S84="","",'PROGRAM JADWAL GENAP'!S84)</f>
        <v>Morteza Muthahhari, S.Kom., M.T.I / Fauzan Asrin, S.Kom, M. Kom.</v>
      </c>
      <c r="L85" s="228" t="str">
        <f>IF('PROGRAM JADWAL GENAP'!T84="","",'PROGRAM JADWAL GENAP'!T84)</f>
        <v/>
      </c>
    </row>
    <row r="86" spans="1:12" ht="40.049999999999997" customHeight="1" x14ac:dyDescent="0.3">
      <c r="A86" s="262"/>
      <c r="B86" s="138">
        <f>IF('PROGRAM JADWAL GENAP'!C85="","",'PROGRAM JADWAL GENAP'!C85)</f>
        <v>0.3125</v>
      </c>
      <c r="C86" s="138" t="str">
        <f>IF('PROGRAM JADWAL GENAP'!D85="","",'PROGRAM JADWAL GENAP'!D85)</f>
        <v>s/d</v>
      </c>
      <c r="D86" s="138">
        <f>IF('PROGRAM JADWAL GENAP'!E85="","",'PROGRAM JADWAL GENAP'!E85)</f>
        <v>0.38194444444444442</v>
      </c>
      <c r="E86" s="136" t="str">
        <f>IF('PROGRAM JADWAL GENAP'!H85="","",'PROGRAM JADWAL GENAP'!H85)</f>
        <v>INF-55201-208</v>
      </c>
      <c r="F86" s="137" t="str">
        <f>IF('PROGRAM JADWAL GENAP'!I85="","",'PROGRAM JADWAL GENAP'!I85)</f>
        <v>Manajemen Basis Data*</v>
      </c>
      <c r="G86" s="138" t="str">
        <f>IF('PROGRAM JADWAL GENAP'!M85="","",'PROGRAM JADWAL GENAP'!M85)</f>
        <v>B</v>
      </c>
      <c r="H86" s="139">
        <f>IF('PROGRAM JADWAL GENAP'!N85="","",'PROGRAM JADWAL GENAP'!N85)</f>
        <v>4</v>
      </c>
      <c r="I86" s="139">
        <f>IF('PROGRAM JADWAL GENAP'!O85="","",'PROGRAM JADWAL GENAP'!O85)</f>
        <v>4</v>
      </c>
      <c r="J86" s="139">
        <f>IF('PROGRAM JADWAL GENAP'!P85="","",'PROGRAM JADWAL GENAP'!P85)</f>
        <v>35</v>
      </c>
      <c r="K86" s="136" t="str">
        <f>IF('PROGRAM JADWAL GENAP'!S85="","",'PROGRAM JADWAL GENAP'!S85)</f>
        <v>Haried Novriando, S.Kom, M.Eng / Helen Sastypratiwi, S.T., M.Eng</v>
      </c>
      <c r="L86" s="228" t="str">
        <f>IF('PROGRAM JADWAL GENAP'!T85="","",'PROGRAM JADWAL GENAP'!T85)</f>
        <v/>
      </c>
    </row>
    <row r="87" spans="1:12" ht="40.049999999999997" customHeight="1" x14ac:dyDescent="0.3">
      <c r="A87" s="262"/>
      <c r="B87" s="138">
        <f>IF('PROGRAM JADWAL GENAP'!C86="","",'PROGRAM JADWAL GENAP'!C86)</f>
        <v>0.3125</v>
      </c>
      <c r="C87" s="138" t="str">
        <f>IF('PROGRAM JADWAL GENAP'!D86="","",'PROGRAM JADWAL GENAP'!D86)</f>
        <v>s/d</v>
      </c>
      <c r="D87" s="138">
        <f>IF('PROGRAM JADWAL GENAP'!E86="","",'PROGRAM JADWAL GENAP'!E86)</f>
        <v>0.38194444444444442</v>
      </c>
      <c r="E87" s="136" t="str">
        <f>IF('PROGRAM JADWAL GENAP'!H86="","",'PROGRAM JADWAL GENAP'!H86)</f>
        <v>INF-55201-211</v>
      </c>
      <c r="F87" s="137" t="str">
        <f>IF('PROGRAM JADWAL GENAP'!I86="","",'PROGRAM JADWAL GENAP'!I86)</f>
        <v>Pemrograman  Berorientasi  Objek * </v>
      </c>
      <c r="G87" s="138" t="str">
        <f>IF('PROGRAM JADWAL GENAP'!M86="","",'PROGRAM JADWAL GENAP'!M86)</f>
        <v>A</v>
      </c>
      <c r="H87" s="139">
        <f>IF('PROGRAM JADWAL GENAP'!N86="","",'PROGRAM JADWAL GENAP'!N86)</f>
        <v>4</v>
      </c>
      <c r="I87" s="139">
        <f>IF('PROGRAM JADWAL GENAP'!O86="","",'PROGRAM JADWAL GENAP'!O86)</f>
        <v>4</v>
      </c>
      <c r="J87" s="139">
        <f>IF('PROGRAM JADWAL GENAP'!P86="","",'PROGRAM JADWAL GENAP'!P86)</f>
        <v>35</v>
      </c>
      <c r="K87" s="136" t="str">
        <f>IF('PROGRAM JADWAL GENAP'!S86="","",'PROGRAM JADWAL GENAP'!S86)</f>
        <v>Rudy Dwi Nyoto, S.T., M.Eng</v>
      </c>
      <c r="L87" s="228" t="str">
        <f>IF('PROGRAM JADWAL GENAP'!T86="","",'PROGRAM JADWAL GENAP'!T86)</f>
        <v/>
      </c>
    </row>
    <row r="88" spans="1:12" ht="40.049999999999997" customHeight="1" x14ac:dyDescent="0.3">
      <c r="A88" s="262"/>
      <c r="B88" s="138">
        <f>IF('PROGRAM JADWAL GENAP'!C87="","",'PROGRAM JADWAL GENAP'!C87)</f>
        <v>0.3125</v>
      </c>
      <c r="C88" s="138" t="str">
        <f>IF('PROGRAM JADWAL GENAP'!D87="","",'PROGRAM JADWAL GENAP'!D87)</f>
        <v>s/d</v>
      </c>
      <c r="D88" s="138">
        <f>IF('PROGRAM JADWAL GENAP'!E87="","",'PROGRAM JADWAL GENAP'!E87)</f>
        <v>0.38194444444444442</v>
      </c>
      <c r="E88" s="136" t="str">
        <f>IF('PROGRAM JADWAL GENAP'!H87="","",'PROGRAM JADWAL GENAP'!H87)</f>
        <v xml:space="preserve"> INF-55201-316</v>
      </c>
      <c r="F88" s="137" t="str">
        <f>IF('PROGRAM JADWAL GENAP'!I87="","",'PROGRAM JADWAL GENAP'!I87)</f>
        <v>Proyek Perangkat  Lunak*</v>
      </c>
      <c r="G88" s="138" t="str">
        <f>IF('PROGRAM JADWAL GENAP'!M87="","",'PROGRAM JADWAL GENAP'!M87)</f>
        <v>B</v>
      </c>
      <c r="H88" s="139">
        <f>IF('PROGRAM JADWAL GENAP'!N87="","",'PROGRAM JADWAL GENAP'!N87)</f>
        <v>6</v>
      </c>
      <c r="I88" s="139">
        <f>IF('PROGRAM JADWAL GENAP'!O87="","",'PROGRAM JADWAL GENAP'!O87)</f>
        <v>4</v>
      </c>
      <c r="J88" s="139">
        <f>IF('PROGRAM JADWAL GENAP'!P87="","",'PROGRAM JADWAL GENAP'!P87)</f>
        <v>35</v>
      </c>
      <c r="K88" s="136" t="str">
        <f>IF('PROGRAM JADWAL GENAP'!S87="","",'PROGRAM JADWAL GENAP'!S87)</f>
        <v>Anggi Perwitasari, S.T., M.T. / Desepta Isna Ulumi, S.Kom, M.Kom.</v>
      </c>
      <c r="L88" s="228" t="str">
        <f>IF('PROGRAM JADWAL GENAP'!T87="","",'PROGRAM JADWAL GENAP'!T87)</f>
        <v/>
      </c>
    </row>
    <row r="89" spans="1:12" ht="40.049999999999997" customHeight="1" x14ac:dyDescent="0.3">
      <c r="A89" s="262"/>
      <c r="B89" s="138" t="str">
        <f>IF('PROGRAM JADWAL GENAP'!C88="","",'PROGRAM JADWAL GENAP'!C88)</f>
        <v/>
      </c>
      <c r="C89" s="138" t="str">
        <f>IF('PROGRAM JADWAL GENAP'!D88="","",'PROGRAM JADWAL GENAP'!D88)</f>
        <v/>
      </c>
      <c r="D89" s="138" t="str">
        <f>IF('PROGRAM JADWAL GENAP'!E88="","",'PROGRAM JADWAL GENAP'!E88)</f>
        <v/>
      </c>
      <c r="E89" s="136" t="str">
        <f>IF('PROGRAM JADWAL GENAP'!H88="","",'PROGRAM JADWAL GENAP'!H88)</f>
        <v/>
      </c>
      <c r="F89" s="137" t="str">
        <f>IF('PROGRAM JADWAL GENAP'!I88="","",'PROGRAM JADWAL GENAP'!I88)</f>
        <v/>
      </c>
      <c r="G89" s="138" t="str">
        <f>IF('PROGRAM JADWAL GENAP'!M88="","",'PROGRAM JADWAL GENAP'!M88)</f>
        <v/>
      </c>
      <c r="H89" s="139" t="str">
        <f>IF('PROGRAM JADWAL GENAP'!N88="","",'PROGRAM JADWAL GENAP'!N88)</f>
        <v/>
      </c>
      <c r="I89" s="139" t="str">
        <f>IF('PROGRAM JADWAL GENAP'!O88="","",'PROGRAM JADWAL GENAP'!O88)</f>
        <v/>
      </c>
      <c r="J89" s="139" t="str">
        <f>IF('PROGRAM JADWAL GENAP'!P88="","",'PROGRAM JADWAL GENAP'!P88)</f>
        <v/>
      </c>
      <c r="K89" s="136" t="str">
        <f>IF('PROGRAM JADWAL GENAP'!S88="","",'PROGRAM JADWAL GENAP'!S88)</f>
        <v/>
      </c>
      <c r="L89" s="228" t="str">
        <f>IF('PROGRAM JADWAL GENAP'!T88="","",'PROGRAM JADWAL GENAP'!T88)</f>
        <v/>
      </c>
    </row>
    <row r="90" spans="1:12" ht="40.049999999999997" customHeight="1" x14ac:dyDescent="0.3">
      <c r="A90" s="262"/>
      <c r="B90" s="138">
        <f>IF('PROGRAM JADWAL GENAP'!C89="","",'PROGRAM JADWAL GENAP'!C89)</f>
        <v>0.3888888888888889</v>
      </c>
      <c r="C90" s="138" t="str">
        <f>IF('PROGRAM JADWAL GENAP'!D89="","",'PROGRAM JADWAL GENAP'!D89)</f>
        <v>s/d</v>
      </c>
      <c r="D90" s="138">
        <f>IF('PROGRAM JADWAL GENAP'!E89="","",'PROGRAM JADWAL GENAP'!E89)</f>
        <v>0.49305555555555558</v>
      </c>
      <c r="E90" s="136" t="str">
        <f>IF('PROGRAM JADWAL GENAP'!H89="","",'PROGRAM JADWAL GENAP'!H89)</f>
        <v>INF-55201-108</v>
      </c>
      <c r="F90" s="137" t="str">
        <f>IF('PROGRAM JADWAL GENAP'!I89="","",'PROGRAM JADWAL GENAP'!I89)</f>
        <v>Dasar rekayasa perangkat lunak</v>
      </c>
      <c r="G90" s="138" t="str">
        <f>IF('PROGRAM JADWAL GENAP'!M89="","",'PROGRAM JADWAL GENAP'!M89)</f>
        <v>C</v>
      </c>
      <c r="H90" s="139">
        <f>IF('PROGRAM JADWAL GENAP'!N89="","",'PROGRAM JADWAL GENAP'!N89)</f>
        <v>2</v>
      </c>
      <c r="I90" s="139">
        <f>IF('PROGRAM JADWAL GENAP'!O89="","",'PROGRAM JADWAL GENAP'!O89)</f>
        <v>3</v>
      </c>
      <c r="J90" s="139">
        <f>IF('PROGRAM JADWAL GENAP'!P89="","",'PROGRAM JADWAL GENAP'!P89)</f>
        <v>28</v>
      </c>
      <c r="K90" s="136" t="str">
        <f>IF('PROGRAM JADWAL GENAP'!S89="","",'PROGRAM JADWAL GENAP'!S89)</f>
        <v>Anggi Perwitasari, S.T., M.T. / Desepta Isna Ulumi, S.Kom, M.Kom.</v>
      </c>
      <c r="L90" s="228" t="str">
        <f>IF('PROGRAM JADWAL GENAP'!T89="","",'PROGRAM JADWAL GENAP'!T89)</f>
        <v/>
      </c>
    </row>
    <row r="91" spans="1:12" ht="40.049999999999997" customHeight="1" x14ac:dyDescent="0.3">
      <c r="A91" s="262"/>
      <c r="B91" s="138">
        <f>IF('PROGRAM JADWAL GENAP'!C90="","",'PROGRAM JADWAL GENAP'!C90)</f>
        <v>0.3888888888888889</v>
      </c>
      <c r="C91" s="138" t="str">
        <f>IF('PROGRAM JADWAL GENAP'!D90="","",'PROGRAM JADWAL GENAP'!D90)</f>
        <v>s/d</v>
      </c>
      <c r="D91" s="138">
        <f>IF('PROGRAM JADWAL GENAP'!E90="","",'PROGRAM JADWAL GENAP'!E90)</f>
        <v>0.49305555555555558</v>
      </c>
      <c r="E91" s="136" t="str">
        <f>IF('PROGRAM JADWAL GENAP'!H90="","",'PROGRAM JADWAL GENAP'!H90)</f>
        <v>INF-55201-106</v>
      </c>
      <c r="F91" s="137" t="str">
        <f>IF('PROGRAM JADWAL GENAP'!I90="","",'PROGRAM JADWAL GENAP'!I90)</f>
        <v>Matematika  Dasar II</v>
      </c>
      <c r="G91" s="138" t="str">
        <f>IF('PROGRAM JADWAL GENAP'!M90="","",'PROGRAM JADWAL GENAP'!M90)</f>
        <v>D</v>
      </c>
      <c r="H91" s="139">
        <f>IF('PROGRAM JADWAL GENAP'!N90="","",'PROGRAM JADWAL GENAP'!N90)</f>
        <v>2</v>
      </c>
      <c r="I91" s="139">
        <f>IF('PROGRAM JADWAL GENAP'!O90="","",'PROGRAM JADWAL GENAP'!O90)</f>
        <v>3</v>
      </c>
      <c r="J91" s="139">
        <f>IF('PROGRAM JADWAL GENAP'!P90="","",'PROGRAM JADWAL GENAP'!P90)</f>
        <v>28</v>
      </c>
      <c r="K91" s="136" t="str">
        <f>IF('PROGRAM JADWAL GENAP'!S90="","",'PROGRAM JADWAL GENAP'!S90)</f>
        <v>Rina Septiriana, S.T., M.Cs. / Anggi Srimurdianti, S.T., M.T.</v>
      </c>
      <c r="L91" s="228" t="str">
        <f>IF('PROGRAM JADWAL GENAP'!T90="","",'PROGRAM JADWAL GENAP'!T90)</f>
        <v/>
      </c>
    </row>
    <row r="92" spans="1:12" ht="40.049999999999997" customHeight="1" x14ac:dyDescent="0.3">
      <c r="A92" s="262"/>
      <c r="B92" s="138">
        <f>IF('PROGRAM JADWAL GENAP'!C91="","",'PROGRAM JADWAL GENAP'!C91)</f>
        <v>0.3888888888888889</v>
      </c>
      <c r="C92" s="138" t="str">
        <f>IF('PROGRAM JADWAL GENAP'!D91="","",'PROGRAM JADWAL GENAP'!D91)</f>
        <v>s/d</v>
      </c>
      <c r="D92" s="138">
        <f>IF('PROGRAM JADWAL GENAP'!E91="","",'PROGRAM JADWAL GENAP'!E91)</f>
        <v>0.49305555555555558</v>
      </c>
      <c r="E92" s="136" t="str">
        <f>IF('PROGRAM JADWAL GENAP'!H91="","",'PROGRAM JADWAL GENAP'!H91)</f>
        <v>INF-55201-214</v>
      </c>
      <c r="F92" s="137" t="str">
        <f>IF('PROGRAM JADWAL GENAP'!I91="","",'PROGRAM JADWAL GENAP'!I91)</f>
        <v>Sistem Pendukung Keputusan</v>
      </c>
      <c r="G92" s="138" t="str">
        <f>IF('PROGRAM JADWAL GENAP'!M91="","",'PROGRAM JADWAL GENAP'!M91)</f>
        <v>A</v>
      </c>
      <c r="H92" s="139">
        <f>IF('PROGRAM JADWAL GENAP'!N91="","",'PROGRAM JADWAL GENAP'!N91)</f>
        <v>4</v>
      </c>
      <c r="I92" s="139">
        <f>IF('PROGRAM JADWAL GENAP'!O91="","",'PROGRAM JADWAL GENAP'!O91)</f>
        <v>3</v>
      </c>
      <c r="J92" s="139">
        <f>IF('PROGRAM JADWAL GENAP'!P91="","",'PROGRAM JADWAL GENAP'!P91)</f>
        <v>28</v>
      </c>
      <c r="K92" s="136" t="str">
        <f>IF('PROGRAM JADWAL GENAP'!S91="","",'PROGRAM JADWAL GENAP'!S91)</f>
        <v>Tursina ST, M.Cs / Prof. Dr. -Ing. Seno D. Panjaitan, S.T., M.T., IPM.</v>
      </c>
      <c r="L92" s="228" t="str">
        <f>IF('PROGRAM JADWAL GENAP'!T91="","",'PROGRAM JADWAL GENAP'!T91)</f>
        <v/>
      </c>
    </row>
    <row r="93" spans="1:12" ht="40.049999999999997" customHeight="1" x14ac:dyDescent="0.3">
      <c r="A93" s="262"/>
      <c r="B93" s="138">
        <f>IF('PROGRAM JADWAL GENAP'!C92="","",'PROGRAM JADWAL GENAP'!C92)</f>
        <v>0.3888888888888889</v>
      </c>
      <c r="C93" s="138" t="str">
        <f>IF('PROGRAM JADWAL GENAP'!D92="","",'PROGRAM JADWAL GENAP'!D92)</f>
        <v>s/d</v>
      </c>
      <c r="D93" s="138">
        <f>IF('PROGRAM JADWAL GENAP'!E92="","",'PROGRAM JADWAL GENAP'!E92)</f>
        <v>0.45833333333333337</v>
      </c>
      <c r="E93" s="136" t="str">
        <f>IF('PROGRAM JADWAL GENAP'!H92="","",'PROGRAM JADWAL GENAP'!H92)</f>
        <v>INF-55201-209</v>
      </c>
      <c r="F93" s="137" t="str">
        <f>IF('PROGRAM JADWAL GENAP'!I92="","",'PROGRAM JADWAL GENAP'!I92)</f>
        <v>Otomata</v>
      </c>
      <c r="G93" s="138" t="str">
        <f>IF('PROGRAM JADWAL GENAP'!M92="","",'PROGRAM JADWAL GENAP'!M92)</f>
        <v>B</v>
      </c>
      <c r="H93" s="139">
        <f>IF('PROGRAM JADWAL GENAP'!N92="","",'PROGRAM JADWAL GENAP'!N92)</f>
        <v>4</v>
      </c>
      <c r="I93" s="139">
        <f>IF('PROGRAM JADWAL GENAP'!O92="","",'PROGRAM JADWAL GENAP'!O92)</f>
        <v>2</v>
      </c>
      <c r="J93" s="139">
        <f>IF('PROGRAM JADWAL GENAP'!P92="","",'PROGRAM JADWAL GENAP'!P92)</f>
        <v>28</v>
      </c>
      <c r="K93" s="136" t="str">
        <f>IF('PROGRAM JADWAL GENAP'!S92="","",'PROGRAM JADWAL GENAP'!S92)</f>
        <v>Novi Safriadi, S.T., M.T. / Khairul Hafidh, S.T., M.Kom.</v>
      </c>
      <c r="L93" s="228" t="str">
        <f>IF('PROGRAM JADWAL GENAP'!T92="","",'PROGRAM JADWAL GENAP'!T92)</f>
        <v/>
      </c>
    </row>
    <row r="94" spans="1:12" ht="40.049999999999997" customHeight="1" x14ac:dyDescent="0.3">
      <c r="A94" s="262"/>
      <c r="B94" s="138">
        <f>IF('PROGRAM JADWAL GENAP'!C93="","",'PROGRAM JADWAL GENAP'!C93)</f>
        <v>0.3888888888888889</v>
      </c>
      <c r="C94" s="138" t="str">
        <f>IF('PROGRAM JADWAL GENAP'!D93="","",'PROGRAM JADWAL GENAP'!D93)</f>
        <v>s/d</v>
      </c>
      <c r="D94" s="138">
        <f>IF('PROGRAM JADWAL GENAP'!E93="","",'PROGRAM JADWAL GENAP'!E93)</f>
        <v>0.49305555555555558</v>
      </c>
      <c r="E94" s="136" t="str">
        <f>IF('PROGRAM JADWAL GENAP'!H93="","",'PROGRAM JADWAL GENAP'!H93)</f>
        <v xml:space="preserve"> INF-55201-309</v>
      </c>
      <c r="F94" s="137" t="str">
        <f>IF('PROGRAM JADWAL GENAP'!I93="","",'PROGRAM JADWAL GENAP'!I93)</f>
        <v>Keamanan  Informasi  dan  Jaringan*</v>
      </c>
      <c r="G94" s="138" t="str">
        <f>IF('PROGRAM JADWAL GENAP'!M93="","",'PROGRAM JADWAL GENAP'!M93)</f>
        <v>D</v>
      </c>
      <c r="H94" s="139">
        <f>IF('PROGRAM JADWAL GENAP'!N93="","",'PROGRAM JADWAL GENAP'!N93)</f>
        <v>6</v>
      </c>
      <c r="I94" s="139">
        <f>IF('PROGRAM JADWAL GENAP'!O93="","",'PROGRAM JADWAL GENAP'!O93)</f>
        <v>3</v>
      </c>
      <c r="J94" s="139">
        <f>IF('PROGRAM JADWAL GENAP'!P93="","",'PROGRAM JADWAL GENAP'!P93)</f>
        <v>28</v>
      </c>
      <c r="K94" s="136" t="str">
        <f>IF('PROGRAM JADWAL GENAP'!S93="","",'PROGRAM JADWAL GENAP'!S93)</f>
        <v>Haried Novriando, S.Kom, M.Eng / Alfian Abdul Jalid, S.Kom., M.Cs.</v>
      </c>
      <c r="L94" s="228" t="str">
        <f>IF('PROGRAM JADWAL GENAP'!T93="","",'PROGRAM JADWAL GENAP'!T93)</f>
        <v/>
      </c>
    </row>
    <row r="95" spans="1:12" ht="40.049999999999997" customHeight="1" x14ac:dyDescent="0.3">
      <c r="A95" s="262"/>
      <c r="B95" s="138">
        <f>IF('PROGRAM JADWAL GENAP'!C94="","",'PROGRAM JADWAL GENAP'!C94)</f>
        <v>0.3888888888888889</v>
      </c>
      <c r="C95" s="138" t="str">
        <f>IF('PROGRAM JADWAL GENAP'!D94="","",'PROGRAM JADWAL GENAP'!D94)</f>
        <v>s/d</v>
      </c>
      <c r="D95" s="138">
        <f>IF('PROGRAM JADWAL GENAP'!E94="","",'PROGRAM JADWAL GENAP'!E94)</f>
        <v>0.49305555555555558</v>
      </c>
      <c r="E95" s="136" t="str">
        <f>IF('PROGRAM JADWAL GENAP'!H94="","",'PROGRAM JADWAL GENAP'!H94)</f>
        <v xml:space="preserve"> INF-55201-313</v>
      </c>
      <c r="F95" s="137" t="str">
        <f>IF('PROGRAM JADWAL GENAP'!I94="","",'PROGRAM JADWAL GENAP'!I94)</f>
        <v>MK Pilihan Wajib Komputasi (PBA)</v>
      </c>
      <c r="G95" s="138" t="str">
        <f>IF('PROGRAM JADWAL GENAP'!M94="","",'PROGRAM JADWAL GENAP'!M94)</f>
        <v>C</v>
      </c>
      <c r="H95" s="139">
        <f>IF('PROGRAM JADWAL GENAP'!N94="","",'PROGRAM JADWAL GENAP'!N94)</f>
        <v>6</v>
      </c>
      <c r="I95" s="139">
        <f>IF('PROGRAM JADWAL GENAP'!O94="","",'PROGRAM JADWAL GENAP'!O94)</f>
        <v>3</v>
      </c>
      <c r="J95" s="139">
        <f>IF('PROGRAM JADWAL GENAP'!P94="","",'PROGRAM JADWAL GENAP'!P94)</f>
        <v>28</v>
      </c>
      <c r="K95" s="136" t="str">
        <f>IF('PROGRAM JADWAL GENAP'!S94="","",'PROGRAM JADWAL GENAP'!S94)</f>
        <v>Dr. Arif BPN, S.T., M.T. / Dr. Herry Sujaini, S.T., M.T.</v>
      </c>
      <c r="L95" s="228" t="str">
        <f>IF('PROGRAM JADWAL GENAP'!T94="","",'PROGRAM JADWAL GENAP'!T94)</f>
        <v/>
      </c>
    </row>
    <row r="96" spans="1:12" ht="40.049999999999997" customHeight="1" x14ac:dyDescent="0.3">
      <c r="A96" s="262"/>
      <c r="B96" s="138">
        <f>IF('PROGRAM JADWAL GENAP'!C95="","",'PROGRAM JADWAL GENAP'!C95)</f>
        <v>0.3888888888888889</v>
      </c>
      <c r="C96" s="138" t="str">
        <f>IF('PROGRAM JADWAL GENAP'!D95="","",'PROGRAM JADWAL GENAP'!D95)</f>
        <v>s/d</v>
      </c>
      <c r="D96" s="138">
        <f>IF('PROGRAM JADWAL GENAP'!E95="","",'PROGRAM JADWAL GENAP'!E95)</f>
        <v>0.49305555555555558</v>
      </c>
      <c r="E96" s="136" t="str">
        <f>IF('PROGRAM JADWAL GENAP'!H95="","",'PROGRAM JADWAL GENAP'!H95)</f>
        <v>INF­55201­516</v>
      </c>
      <c r="F96" s="137" t="str">
        <f>IF('PROGRAM JADWAL GENAP'!I95="","",'PROGRAM JADWAL GENAP'!I95)</f>
        <v xml:space="preserve">Data  Mining  </v>
      </c>
      <c r="G96" s="138" t="str">
        <f>IF('PROGRAM JADWAL GENAP'!M95="","",'PROGRAM JADWAL GENAP'!M95)</f>
        <v>A</v>
      </c>
      <c r="H96" s="139">
        <f>IF('PROGRAM JADWAL GENAP'!N95="","",'PROGRAM JADWAL GENAP'!N95)</f>
        <v>6</v>
      </c>
      <c r="I96" s="139">
        <f>IF('PROGRAM JADWAL GENAP'!O95="","",'PROGRAM JADWAL GENAP'!O95)</f>
        <v>3</v>
      </c>
      <c r="J96" s="139">
        <f>IF('PROGRAM JADWAL GENAP'!P95="","",'PROGRAM JADWAL GENAP'!P95)</f>
        <v>28</v>
      </c>
      <c r="K96" s="136" t="str">
        <f>IF('PROGRAM JADWAL GENAP'!S95="","",'PROGRAM JADWAL GENAP'!S95)</f>
        <v>Enda Esyudha Pratama, S.T., M.T. / Niken Candraningrum, S.T., M.Cs.</v>
      </c>
      <c r="L96" s="228" t="str">
        <f>IF('PROGRAM JADWAL GENAP'!T95="","",'PROGRAM JADWAL GENAP'!T95)</f>
        <v/>
      </c>
    </row>
    <row r="97" spans="1:12" ht="40.049999999999997" customHeight="1" x14ac:dyDescent="0.3">
      <c r="A97" s="262"/>
      <c r="B97" s="138" t="str">
        <f>IF('PROGRAM JADWAL GENAP'!C96="","",'PROGRAM JADWAL GENAP'!C96)</f>
        <v/>
      </c>
      <c r="C97" s="138" t="str">
        <f>IF('PROGRAM JADWAL GENAP'!D96="","",'PROGRAM JADWAL GENAP'!D96)</f>
        <v/>
      </c>
      <c r="D97" s="138" t="str">
        <f>IF('PROGRAM JADWAL GENAP'!E96="","",'PROGRAM JADWAL GENAP'!E96)</f>
        <v/>
      </c>
      <c r="E97" s="136" t="str">
        <f>IF('PROGRAM JADWAL GENAP'!H96="","",'PROGRAM JADWAL GENAP'!H96)</f>
        <v/>
      </c>
      <c r="F97" s="137" t="str">
        <f>IF('PROGRAM JADWAL GENAP'!I96="","",'PROGRAM JADWAL GENAP'!I96)</f>
        <v/>
      </c>
      <c r="G97" s="138" t="str">
        <f>IF('PROGRAM JADWAL GENAP'!M96="","",'PROGRAM JADWAL GENAP'!M96)</f>
        <v/>
      </c>
      <c r="H97" s="139" t="str">
        <f>IF('PROGRAM JADWAL GENAP'!N96="","",'PROGRAM JADWAL GENAP'!N96)</f>
        <v/>
      </c>
      <c r="I97" s="139" t="str">
        <f>IF('PROGRAM JADWAL GENAP'!O96="","",'PROGRAM JADWAL GENAP'!O96)</f>
        <v/>
      </c>
      <c r="J97" s="139" t="str">
        <f>IF('PROGRAM JADWAL GENAP'!P96="","",'PROGRAM JADWAL GENAP'!P96)</f>
        <v/>
      </c>
      <c r="K97" s="136" t="str">
        <f>IF('PROGRAM JADWAL GENAP'!S96="","",'PROGRAM JADWAL GENAP'!S96)</f>
        <v/>
      </c>
      <c r="L97" s="228" t="str">
        <f>IF('PROGRAM JADWAL GENAP'!T96="","",'PROGRAM JADWAL GENAP'!T96)</f>
        <v/>
      </c>
    </row>
    <row r="98" spans="1:12" ht="40.049999999999997" customHeight="1" x14ac:dyDescent="0.3">
      <c r="A98" s="262"/>
      <c r="B98" s="138">
        <f>IF('PROGRAM JADWAL GENAP'!C97="","",'PROGRAM JADWAL GENAP'!C97)</f>
        <v>0.53125</v>
      </c>
      <c r="C98" s="138" t="str">
        <f>IF('PROGRAM JADWAL GENAP'!D97="","",'PROGRAM JADWAL GENAP'!D97)</f>
        <v>s/d</v>
      </c>
      <c r="D98" s="138">
        <f>IF('PROGRAM JADWAL GENAP'!E97="","",'PROGRAM JADWAL GENAP'!E97)</f>
        <v>0.63541666666666663</v>
      </c>
      <c r="E98" s="136" t="str">
        <f>IF('PROGRAM JADWAL GENAP'!H97="","",'PROGRAM JADWAL GENAP'!H97)</f>
        <v>INF-55201-108</v>
      </c>
      <c r="F98" s="137" t="str">
        <f>IF('PROGRAM JADWAL GENAP'!I97="","",'PROGRAM JADWAL GENAP'!I97)</f>
        <v>Dasar rekayasa perangkat lunak</v>
      </c>
      <c r="G98" s="138" t="str">
        <f>IF('PROGRAM JADWAL GENAP'!M97="","",'PROGRAM JADWAL GENAP'!M97)</f>
        <v>A</v>
      </c>
      <c r="H98" s="139">
        <f>IF('PROGRAM JADWAL GENAP'!N97="","",'PROGRAM JADWAL GENAP'!N97)</f>
        <v>2</v>
      </c>
      <c r="I98" s="139">
        <f>IF('PROGRAM JADWAL GENAP'!O97="","",'PROGRAM JADWAL GENAP'!O97)</f>
        <v>3</v>
      </c>
      <c r="J98" s="139">
        <f>IF('PROGRAM JADWAL GENAP'!P97="","",'PROGRAM JADWAL GENAP'!P97)</f>
        <v>28</v>
      </c>
      <c r="K98" s="136" t="str">
        <f>IF('PROGRAM JADWAL GENAP'!S97="","",'PROGRAM JADWAL GENAP'!S97)</f>
        <v>Dr. Yus Sholva, S.T., M.T. / Desepta Isna Ulumi, S.Kom, M.Kom.</v>
      </c>
      <c r="L98" s="228" t="str">
        <f>IF('PROGRAM JADWAL GENAP'!T97="","",'PROGRAM JADWAL GENAP'!T97)</f>
        <v/>
      </c>
    </row>
    <row r="99" spans="1:12" ht="40.049999999999997" customHeight="1" x14ac:dyDescent="0.3">
      <c r="A99" s="262"/>
      <c r="B99" s="138">
        <f>IF('PROGRAM JADWAL GENAP'!C98="","",'PROGRAM JADWAL GENAP'!C98)</f>
        <v>0.53125</v>
      </c>
      <c r="C99" s="138" t="str">
        <f>IF('PROGRAM JADWAL GENAP'!D98="","",'PROGRAM JADWAL GENAP'!D98)</f>
        <v>s/d</v>
      </c>
      <c r="D99" s="138">
        <f>IF('PROGRAM JADWAL GENAP'!E98="","",'PROGRAM JADWAL GENAP'!E98)</f>
        <v>0.63541666666666663</v>
      </c>
      <c r="E99" s="136" t="str">
        <f>IF('PROGRAM JADWAL GENAP'!H98="","",'PROGRAM JADWAL GENAP'!H98)</f>
        <v>INF-55201-106</v>
      </c>
      <c r="F99" s="137" t="str">
        <f>IF('PROGRAM JADWAL GENAP'!I98="","",'PROGRAM JADWAL GENAP'!I98)</f>
        <v>Matematika  Dasar II</v>
      </c>
      <c r="G99" s="138" t="str">
        <f>IF('PROGRAM JADWAL GENAP'!M98="","",'PROGRAM JADWAL GENAP'!M98)</f>
        <v>B</v>
      </c>
      <c r="H99" s="139">
        <f>IF('PROGRAM JADWAL GENAP'!N98="","",'PROGRAM JADWAL GENAP'!N98)</f>
        <v>2</v>
      </c>
      <c r="I99" s="139">
        <f>IF('PROGRAM JADWAL GENAP'!O98="","",'PROGRAM JADWAL GENAP'!O98)</f>
        <v>3</v>
      </c>
      <c r="J99" s="139">
        <f>IF('PROGRAM JADWAL GENAP'!P98="","",'PROGRAM JADWAL GENAP'!P98)</f>
        <v>28</v>
      </c>
      <c r="K99" s="136" t="str">
        <f>IF('PROGRAM JADWAL GENAP'!S98="","",'PROGRAM JADWAL GENAP'!S98)</f>
        <v>Rina Septiriana, S.T., M.Cs. / Anggi Srimurdianti, S.T., M.T.</v>
      </c>
      <c r="L99" s="228" t="str">
        <f>IF('PROGRAM JADWAL GENAP'!T98="","",'PROGRAM JADWAL GENAP'!T98)</f>
        <v/>
      </c>
    </row>
    <row r="100" spans="1:12" ht="40.049999999999997" customHeight="1" x14ac:dyDescent="0.3">
      <c r="A100" s="262"/>
      <c r="B100" s="138">
        <f>IF('PROGRAM JADWAL GENAP'!C99="","",'PROGRAM JADWAL GENAP'!C99)</f>
        <v>0.53125</v>
      </c>
      <c r="C100" s="138" t="str">
        <f>IF('PROGRAM JADWAL GENAP'!D99="","",'PROGRAM JADWAL GENAP'!D99)</f>
        <v>s/d</v>
      </c>
      <c r="D100" s="138">
        <f>IF('PROGRAM JADWAL GENAP'!E99="","",'PROGRAM JADWAL GENAP'!E99)</f>
        <v>0.63541666666666663</v>
      </c>
      <c r="E100" s="136" t="str">
        <f>IF('PROGRAM JADWAL GENAP'!H99="","",'PROGRAM JADWAL GENAP'!H99)</f>
        <v>INF-55201-214</v>
      </c>
      <c r="F100" s="137" t="str">
        <f>IF('PROGRAM JADWAL GENAP'!I99="","",'PROGRAM JADWAL GENAP'!I99)</f>
        <v>Sistem Pendukung Keputusan</v>
      </c>
      <c r="G100" s="138" t="str">
        <f>IF('PROGRAM JADWAL GENAP'!M99="","",'PROGRAM JADWAL GENAP'!M99)</f>
        <v>C</v>
      </c>
      <c r="H100" s="139">
        <f>IF('PROGRAM JADWAL GENAP'!N99="","",'PROGRAM JADWAL GENAP'!N99)</f>
        <v>4</v>
      </c>
      <c r="I100" s="139">
        <f>IF('PROGRAM JADWAL GENAP'!O99="","",'PROGRAM JADWAL GENAP'!O99)</f>
        <v>3</v>
      </c>
      <c r="J100" s="139">
        <f>IF('PROGRAM JADWAL GENAP'!P99="","",'PROGRAM JADWAL GENAP'!P99)</f>
        <v>28</v>
      </c>
      <c r="K100" s="136" t="str">
        <f>IF('PROGRAM JADWAL GENAP'!S99="","",'PROGRAM JADWAL GENAP'!S99)</f>
        <v>Tursina ST, M.Cs</v>
      </c>
      <c r="L100" s="228" t="str">
        <f>IF('PROGRAM JADWAL GENAP'!T99="","",'PROGRAM JADWAL GENAP'!T99)</f>
        <v/>
      </c>
    </row>
    <row r="101" spans="1:12" ht="40.049999999999997" customHeight="1" x14ac:dyDescent="0.3">
      <c r="A101" s="262"/>
      <c r="B101" s="138">
        <f>IF('PROGRAM JADWAL GENAP'!C100="","",'PROGRAM JADWAL GENAP'!C100)</f>
        <v>0.53125</v>
      </c>
      <c r="C101" s="138" t="str">
        <f>IF('PROGRAM JADWAL GENAP'!D100="","",'PROGRAM JADWAL GENAP'!D100)</f>
        <v>s/d</v>
      </c>
      <c r="D101" s="138">
        <f>IF('PROGRAM JADWAL GENAP'!E100="","",'PROGRAM JADWAL GENAP'!E100)</f>
        <v>0.60069444444444442</v>
      </c>
      <c r="E101" s="136" t="str">
        <f>IF('PROGRAM JADWAL GENAP'!H100="","",'PROGRAM JADWAL GENAP'!H100)</f>
        <v>INF-55201-209</v>
      </c>
      <c r="F101" s="137" t="str">
        <f>IF('PROGRAM JADWAL GENAP'!I100="","",'PROGRAM JADWAL GENAP'!I100)</f>
        <v>Otomata</v>
      </c>
      <c r="G101" s="138" t="str">
        <f>IF('PROGRAM JADWAL GENAP'!M100="","",'PROGRAM JADWAL GENAP'!M100)</f>
        <v>D</v>
      </c>
      <c r="H101" s="139">
        <f>IF('PROGRAM JADWAL GENAP'!N100="","",'PROGRAM JADWAL GENAP'!N100)</f>
        <v>4</v>
      </c>
      <c r="I101" s="139">
        <f>IF('PROGRAM JADWAL GENAP'!O100="","",'PROGRAM JADWAL GENAP'!O100)</f>
        <v>2</v>
      </c>
      <c r="J101" s="139">
        <f>IF('PROGRAM JADWAL GENAP'!P100="","",'PROGRAM JADWAL GENAP'!P100)</f>
        <v>28</v>
      </c>
      <c r="K101" s="136" t="str">
        <f>IF('PROGRAM JADWAL GENAP'!S100="","",'PROGRAM JADWAL GENAP'!S100)</f>
        <v>Novi Safriadi, S.T., M.T. / Khairul Hafidh, S.T., M.Kom.</v>
      </c>
      <c r="L101" s="228" t="str">
        <f>IF('PROGRAM JADWAL GENAP'!T100="","",'PROGRAM JADWAL GENAP'!T100)</f>
        <v/>
      </c>
    </row>
    <row r="102" spans="1:12" ht="40.049999999999997" customHeight="1" x14ac:dyDescent="0.3">
      <c r="A102" s="262"/>
      <c r="B102" s="138">
        <f>IF('PROGRAM JADWAL GENAP'!C101="","",'PROGRAM JADWAL GENAP'!C101)</f>
        <v>0.53125</v>
      </c>
      <c r="C102" s="138" t="str">
        <f>IF('PROGRAM JADWAL GENAP'!D101="","",'PROGRAM JADWAL GENAP'!D101)</f>
        <v>s/d</v>
      </c>
      <c r="D102" s="138">
        <f>IF('PROGRAM JADWAL GENAP'!E101="","",'PROGRAM JADWAL GENAP'!E101)</f>
        <v>0.63541666666666663</v>
      </c>
      <c r="E102" s="136" t="str">
        <f>IF('PROGRAM JADWAL GENAP'!H101="","",'PROGRAM JADWAL GENAP'!H101)</f>
        <v xml:space="preserve"> INF-55201-309</v>
      </c>
      <c r="F102" s="137" t="str">
        <f>IF('PROGRAM JADWAL GENAP'!I101="","",'PROGRAM JADWAL GENAP'!I101)</f>
        <v>Keamanan  Informasi  dan  Jaringan*</v>
      </c>
      <c r="G102" s="138" t="str">
        <f>IF('PROGRAM JADWAL GENAP'!M101="","",'PROGRAM JADWAL GENAP'!M101)</f>
        <v>A</v>
      </c>
      <c r="H102" s="139">
        <f>IF('PROGRAM JADWAL GENAP'!N101="","",'PROGRAM JADWAL GENAP'!N101)</f>
        <v>6</v>
      </c>
      <c r="I102" s="139">
        <f>IF('PROGRAM JADWAL GENAP'!O101="","",'PROGRAM JADWAL GENAP'!O101)</f>
        <v>3</v>
      </c>
      <c r="J102" s="139">
        <f>IF('PROGRAM JADWAL GENAP'!P101="","",'PROGRAM JADWAL GENAP'!P101)</f>
        <v>28</v>
      </c>
      <c r="K102" s="136" t="str">
        <f>IF('PROGRAM JADWAL GENAP'!S101="","",'PROGRAM JADWAL GENAP'!S101)</f>
        <v>M.Azhar Irwansyah, S.T.,M.Eng. / Alfian Abdul Jalid, S.Kom., M.Cs.</v>
      </c>
      <c r="L102" s="228" t="str">
        <f>IF('PROGRAM JADWAL GENAP'!T101="","",'PROGRAM JADWAL GENAP'!T101)</f>
        <v/>
      </c>
    </row>
    <row r="103" spans="1:12" ht="40.049999999999997" customHeight="1" x14ac:dyDescent="0.3">
      <c r="A103" s="262"/>
      <c r="B103" s="138">
        <f>IF('PROGRAM JADWAL GENAP'!C102="","",'PROGRAM JADWAL GENAP'!C102)</f>
        <v>0.53125</v>
      </c>
      <c r="C103" s="138" t="str">
        <f>IF('PROGRAM JADWAL GENAP'!D102="","",'PROGRAM JADWAL GENAP'!D102)</f>
        <v>s/d</v>
      </c>
      <c r="D103" s="138">
        <f>IF('PROGRAM JADWAL GENAP'!E102="","",'PROGRAM JADWAL GENAP'!E102)</f>
        <v>0.63541666666666663</v>
      </c>
      <c r="E103" s="136" t="str">
        <f>IF('PROGRAM JADWAL GENAP'!H102="","",'PROGRAM JADWAL GENAP'!H102)</f>
        <v xml:space="preserve"> INF-55201-313</v>
      </c>
      <c r="F103" s="137" t="str">
        <f>IF('PROGRAM JADWAL GENAP'!I102="","",'PROGRAM JADWAL GENAP'!I102)</f>
        <v>MK Pilihan Wajib Komputasi (PBA)</v>
      </c>
      <c r="G103" s="138" t="str">
        <f>IF('PROGRAM JADWAL GENAP'!M102="","",'PROGRAM JADWAL GENAP'!M102)</f>
        <v>B</v>
      </c>
      <c r="H103" s="139">
        <f>IF('PROGRAM JADWAL GENAP'!N102="","",'PROGRAM JADWAL GENAP'!N102)</f>
        <v>6</v>
      </c>
      <c r="I103" s="139">
        <f>IF('PROGRAM JADWAL GENAP'!O102="","",'PROGRAM JADWAL GENAP'!O102)</f>
        <v>3</v>
      </c>
      <c r="J103" s="139">
        <f>IF('PROGRAM JADWAL GENAP'!P102="","",'PROGRAM JADWAL GENAP'!P102)</f>
        <v>28</v>
      </c>
      <c r="K103" s="136" t="str">
        <f>IF('PROGRAM JADWAL GENAP'!S102="","",'PROGRAM JADWAL GENAP'!S102)</f>
        <v>Dr. Herry Sujaini, S.T., M.T. / Dr. Arif BPN, S.T., M.T.</v>
      </c>
      <c r="L103" s="228" t="str">
        <f>IF('PROGRAM JADWAL GENAP'!T102="","",'PROGRAM JADWAL GENAP'!T102)</f>
        <v/>
      </c>
    </row>
    <row r="104" spans="1:12" ht="40.049999999999997" customHeight="1" x14ac:dyDescent="0.3">
      <c r="A104" s="262"/>
      <c r="B104" s="138" t="str">
        <f>IF('PROGRAM JADWAL GENAP'!C103="","",'PROGRAM JADWAL GENAP'!C103)</f>
        <v/>
      </c>
      <c r="C104" s="138" t="str">
        <f>IF('PROGRAM JADWAL GENAP'!D103="","",'PROGRAM JADWAL GENAP'!D103)</f>
        <v/>
      </c>
      <c r="D104" s="138" t="str">
        <f>IF('PROGRAM JADWAL GENAP'!E103="","",'PROGRAM JADWAL GENAP'!E103)</f>
        <v/>
      </c>
      <c r="E104" s="136" t="str">
        <f>IF('PROGRAM JADWAL GENAP'!H103="","",'PROGRAM JADWAL GENAP'!H103)</f>
        <v/>
      </c>
      <c r="F104" s="137" t="str">
        <f>IF('PROGRAM JADWAL GENAP'!I103="","",'PROGRAM JADWAL GENAP'!I103)</f>
        <v/>
      </c>
      <c r="G104" s="138" t="str">
        <f>IF('PROGRAM JADWAL GENAP'!M103="","",'PROGRAM JADWAL GENAP'!M103)</f>
        <v/>
      </c>
      <c r="H104" s="139" t="str">
        <f>IF('PROGRAM JADWAL GENAP'!N103="","",'PROGRAM JADWAL GENAP'!N103)</f>
        <v/>
      </c>
      <c r="I104" s="139" t="str">
        <f>IF('PROGRAM JADWAL GENAP'!O103="","",'PROGRAM JADWAL GENAP'!O103)</f>
        <v/>
      </c>
      <c r="J104" s="139" t="str">
        <f>IF('PROGRAM JADWAL GENAP'!P103="","",'PROGRAM JADWAL GENAP'!P103)</f>
        <v/>
      </c>
      <c r="K104" s="136" t="str">
        <f>IF('PROGRAM JADWAL GENAP'!S103="","",'PROGRAM JADWAL GENAP'!S103)</f>
        <v/>
      </c>
      <c r="L104" s="228" t="str">
        <f>IF('PROGRAM JADWAL GENAP'!T103="","",'PROGRAM JADWAL GENAP'!T103)</f>
        <v/>
      </c>
    </row>
    <row r="105" spans="1:12" ht="40.049999999999997" customHeight="1" x14ac:dyDescent="0.3">
      <c r="A105" s="262"/>
      <c r="B105" s="138" t="str">
        <f>IF('PROGRAM JADWAL GENAP'!C104="","",'PROGRAM JADWAL GENAP'!C104)</f>
        <v/>
      </c>
      <c r="C105" s="138" t="str">
        <f>IF('PROGRAM JADWAL GENAP'!D104="","",'PROGRAM JADWAL GENAP'!D104)</f>
        <v/>
      </c>
      <c r="D105" s="138" t="str">
        <f>IF('PROGRAM JADWAL GENAP'!E104="","",'PROGRAM JADWAL GENAP'!E104)</f>
        <v/>
      </c>
      <c r="E105" s="136" t="str">
        <f>IF('PROGRAM JADWAL GENAP'!H104="","",'PROGRAM JADWAL GENAP'!H104)</f>
        <v/>
      </c>
      <c r="F105" s="137" t="str">
        <f>IF('PROGRAM JADWAL GENAP'!I104="","",'PROGRAM JADWAL GENAP'!I104)</f>
        <v/>
      </c>
      <c r="G105" s="138" t="str">
        <f>IF('PROGRAM JADWAL GENAP'!M104="","",'PROGRAM JADWAL GENAP'!M104)</f>
        <v/>
      </c>
      <c r="H105" s="139" t="str">
        <f>IF('PROGRAM JADWAL GENAP'!N104="","",'PROGRAM JADWAL GENAP'!N104)</f>
        <v/>
      </c>
      <c r="I105" s="139" t="str">
        <f>IF('PROGRAM JADWAL GENAP'!O104="","",'PROGRAM JADWAL GENAP'!O104)</f>
        <v/>
      </c>
      <c r="J105" s="139" t="str">
        <f>IF('PROGRAM JADWAL GENAP'!P104="","",'PROGRAM JADWAL GENAP'!P104)</f>
        <v/>
      </c>
      <c r="K105" s="136" t="str">
        <f>IF('PROGRAM JADWAL GENAP'!S104="","",'PROGRAM JADWAL GENAP'!S104)</f>
        <v/>
      </c>
      <c r="L105" s="228" t="str">
        <f>IF('PROGRAM JADWAL GENAP'!T104="","",'PROGRAM JADWAL GENAP'!T104)</f>
        <v/>
      </c>
    </row>
    <row r="106" spans="1:12" ht="40.049999999999997" customHeight="1" x14ac:dyDescent="0.3">
      <c r="A106" s="262"/>
      <c r="B106" s="138">
        <f>IF('PROGRAM JADWAL GENAP'!C105="","",'PROGRAM JADWAL GENAP'!C105)</f>
        <v>0.64236111111111105</v>
      </c>
      <c r="C106" s="138" t="str">
        <f>IF('PROGRAM JADWAL GENAP'!D105="","",'PROGRAM JADWAL GENAP'!D105)</f>
        <v>s/d</v>
      </c>
      <c r="D106" s="138">
        <f>IF('PROGRAM JADWAL GENAP'!E105="","",'PROGRAM JADWAL GENAP'!E105)</f>
        <v>0.71180555555555547</v>
      </c>
      <c r="E106" s="136" t="str">
        <f>IF('PROGRAM JADWAL GENAP'!H105="","",'PROGRAM JADWAL GENAP'!H105)</f>
        <v>UMG-55201-104</v>
      </c>
      <c r="F106" s="137" t="str">
        <f>IF('PROGRAM JADWAL GENAP'!I105="","",'PROGRAM JADWAL GENAP'!I105)</f>
        <v>Kewarganegaraan</v>
      </c>
      <c r="G106" s="138" t="str">
        <f>IF('PROGRAM JADWAL GENAP'!M105="","",'PROGRAM JADWAL GENAP'!M105)</f>
        <v>A</v>
      </c>
      <c r="H106" s="139">
        <f>IF('PROGRAM JADWAL GENAP'!N105="","",'PROGRAM JADWAL GENAP'!N105)</f>
        <v>2</v>
      </c>
      <c r="I106" s="139">
        <f>IF('PROGRAM JADWAL GENAP'!O105="","",'PROGRAM JADWAL GENAP'!O105)</f>
        <v>2</v>
      </c>
      <c r="J106" s="139">
        <f>IF('PROGRAM JADWAL GENAP'!P105="","",'PROGRAM JADWAL GENAP'!P105)</f>
        <v>28</v>
      </c>
      <c r="K106" s="136" t="str">
        <f>IF('PROGRAM JADWAL GENAP'!S105="","",'PROGRAM JADWAL GENAP'!S105)</f>
        <v>MKU</v>
      </c>
      <c r="L106" s="228" t="str">
        <f>IF('PROGRAM JADWAL GENAP'!T105="","",'PROGRAM JADWAL GENAP'!T105)</f>
        <v/>
      </c>
    </row>
    <row r="107" spans="1:12" ht="40.049999999999997" customHeight="1" x14ac:dyDescent="0.3">
      <c r="A107" s="262"/>
      <c r="B107" s="138">
        <f>IF('PROGRAM JADWAL GENAP'!C106="","",'PROGRAM JADWAL GENAP'!C106)</f>
        <v>0.64236111111111105</v>
      </c>
      <c r="C107" s="138" t="str">
        <f>IF('PROGRAM JADWAL GENAP'!D106="","",'PROGRAM JADWAL GENAP'!D106)</f>
        <v>s/d</v>
      </c>
      <c r="D107" s="138">
        <f>IF('PROGRAM JADWAL GENAP'!E106="","",'PROGRAM JADWAL GENAP'!E106)</f>
        <v>0.71180555555555547</v>
      </c>
      <c r="E107" s="136" t="str">
        <f>IF('PROGRAM JADWAL GENAP'!H106="","",'PROGRAM JADWAL GENAP'!H106)</f>
        <v>INF-55201-213</v>
      </c>
      <c r="F107" s="137" t="str">
        <f>IF('PROGRAM JADWAL GENAP'!I106="","",'PROGRAM JADWAL GENAP'!I106)</f>
        <v>Sistem Informasi</v>
      </c>
      <c r="G107" s="138" t="str">
        <f>IF('PROGRAM JADWAL GENAP'!M106="","",'PROGRAM JADWAL GENAP'!M106)</f>
        <v>C</v>
      </c>
      <c r="H107" s="139">
        <f>IF('PROGRAM JADWAL GENAP'!N106="","",'PROGRAM JADWAL GENAP'!N106)</f>
        <v>4</v>
      </c>
      <c r="I107" s="139">
        <f>IF('PROGRAM JADWAL GENAP'!O106="","",'PROGRAM JADWAL GENAP'!O106)</f>
        <v>2</v>
      </c>
      <c r="J107" s="139">
        <f>IF('PROGRAM JADWAL GENAP'!P106="","",'PROGRAM JADWAL GENAP'!P106)</f>
        <v>28</v>
      </c>
      <c r="K107" s="136" t="str">
        <f>IF('PROGRAM JADWAL GENAP'!S106="","",'PROGRAM JADWAL GENAP'!S106)</f>
        <v>Yulianti,S.Kom, MMSI / Eva Faja Ripanti, S.Kom, MMSI, Ph.D</v>
      </c>
      <c r="L107" s="228" t="str">
        <f>IF('PROGRAM JADWAL GENAP'!T106="","",'PROGRAM JADWAL GENAP'!T106)</f>
        <v/>
      </c>
    </row>
    <row r="108" spans="1:12" ht="40.049999999999997" customHeight="1" x14ac:dyDescent="0.3">
      <c r="A108" s="262"/>
      <c r="B108" s="138">
        <f>IF('PROGRAM JADWAL GENAP'!C107="","",'PROGRAM JADWAL GENAP'!C107)</f>
        <v>0.64236111111111105</v>
      </c>
      <c r="C108" s="138" t="str">
        <f>IF('PROGRAM JADWAL GENAP'!D107="","",'PROGRAM JADWAL GENAP'!D107)</f>
        <v>s/d</v>
      </c>
      <c r="D108" s="138">
        <f>IF('PROGRAM JADWAL GENAP'!E107="","",'PROGRAM JADWAL GENAP'!E107)</f>
        <v>0.71180555555555547</v>
      </c>
      <c r="E108" s="136" t="str">
        <f>IF('PROGRAM JADWAL GENAP'!H107="","",'PROGRAM JADWAL GENAP'!H107)</f>
        <v xml:space="preserve"> INF-55201-312</v>
      </c>
      <c r="F108" s="137" t="str">
        <f>IF('PROGRAM JADWAL GENAP'!I107="","",'PROGRAM JADWAL GENAP'!I107)</f>
        <v>Sosio dan Etika Profesi</v>
      </c>
      <c r="G108" s="138" t="str">
        <f>IF('PROGRAM JADWAL GENAP'!M107="","",'PROGRAM JADWAL GENAP'!M107)</f>
        <v>A</v>
      </c>
      <c r="H108" s="139">
        <f>IF('PROGRAM JADWAL GENAP'!N107="","",'PROGRAM JADWAL GENAP'!N107)</f>
        <v>6</v>
      </c>
      <c r="I108" s="139">
        <f>IF('PROGRAM JADWAL GENAP'!O107="","",'PROGRAM JADWAL GENAP'!O107)</f>
        <v>2</v>
      </c>
      <c r="J108" s="139">
        <f>IF('PROGRAM JADWAL GENAP'!P107="","",'PROGRAM JADWAL GENAP'!P107)</f>
        <v>28</v>
      </c>
      <c r="K108" s="136" t="str">
        <f>IF('PROGRAM JADWAL GENAP'!S107="","",'PROGRAM JADWAL GENAP'!S107)</f>
        <v>Hafiz Muhardi, S.T., M.Kom</v>
      </c>
      <c r="L108" s="228" t="str">
        <f>IF('PROGRAM JADWAL GENAP'!T107="","",'PROGRAM JADWAL GENAP'!T107)</f>
        <v/>
      </c>
    </row>
    <row r="109" spans="1:12" ht="40.049999999999997" customHeight="1" x14ac:dyDescent="0.3">
      <c r="A109" s="263"/>
      <c r="B109" s="138">
        <f>IF('PROGRAM JADWAL GENAP'!C108="","",'PROGRAM JADWAL GENAP'!C108)</f>
        <v>0.64236111111111105</v>
      </c>
      <c r="C109" s="138" t="str">
        <f>IF('PROGRAM JADWAL GENAP'!D108="","",'PROGRAM JADWAL GENAP'!D108)</f>
        <v>s/d</v>
      </c>
      <c r="D109" s="138">
        <f>IF('PROGRAM JADWAL GENAP'!E108="","",'PROGRAM JADWAL GENAP'!E108)</f>
        <v>0.71180555555555547</v>
      </c>
      <c r="E109" s="136" t="str">
        <f>IF('PROGRAM JADWAL GENAP'!H108="","",'PROGRAM JADWAL GENAP'!H108)</f>
        <v xml:space="preserve"> INF-55201-307</v>
      </c>
      <c r="F109" s="137" t="str">
        <f>IF('PROGRAM JADWAL GENAP'!I108="","",'PROGRAM JADWAL GENAP'!I108)</f>
        <v xml:space="preserve">Teori Komputer Grafis </v>
      </c>
      <c r="G109" s="138" t="str">
        <f>IF('PROGRAM JADWAL GENAP'!M108="","",'PROGRAM JADWAL GENAP'!M108)</f>
        <v>C</v>
      </c>
      <c r="H109" s="139">
        <f>IF('PROGRAM JADWAL GENAP'!N108="","",'PROGRAM JADWAL GENAP'!N108)</f>
        <v>6</v>
      </c>
      <c r="I109" s="139">
        <f>IF('PROGRAM JADWAL GENAP'!O108="","",'PROGRAM JADWAL GENAP'!O108)</f>
        <v>2</v>
      </c>
      <c r="J109" s="139">
        <f>IF('PROGRAM JADWAL GENAP'!P108="","",'PROGRAM JADWAL GENAP'!P108)</f>
        <v>28</v>
      </c>
      <c r="K109" s="136" t="str">
        <f>IF('PROGRAM JADWAL GENAP'!S108="","",'PROGRAM JADWAL GENAP'!S108)</f>
        <v>H. Hengky Anra, S.T., M.Kom</v>
      </c>
      <c r="L109" s="228" t="str">
        <f>IF('PROGRAM JADWAL GENAP'!T108="","",'PROGRAM JADWAL GENAP'!T108)</f>
        <v/>
      </c>
    </row>
    <row r="110" spans="1:12" ht="40.049999999999997" customHeight="1" x14ac:dyDescent="0.3">
      <c r="A110" s="254" t="str">
        <f>IF('PROGRAM JADWAL GENAP'!B109="","",'PROGRAM JADWAL GENAP'!B109)</f>
        <v/>
      </c>
      <c r="B110" s="138" t="str">
        <f>IF('PROGRAM JADWAL GENAP'!C109="","",'PROGRAM JADWAL GENAP'!C109)</f>
        <v/>
      </c>
      <c r="C110" s="138" t="str">
        <f>IF('PROGRAM JADWAL GENAP'!D109="","",'PROGRAM JADWAL GENAP'!D109)</f>
        <v/>
      </c>
      <c r="D110" s="138" t="str">
        <f>IF('PROGRAM JADWAL GENAP'!E109="","",'PROGRAM JADWAL GENAP'!E109)</f>
        <v/>
      </c>
      <c r="E110" s="136" t="str">
        <f>IF('PROGRAM JADWAL GENAP'!H109="","",'PROGRAM JADWAL GENAP'!H109)</f>
        <v/>
      </c>
      <c r="F110" s="137" t="str">
        <f>IF('PROGRAM JADWAL GENAP'!I109="","",'PROGRAM JADWAL GENAP'!I109)</f>
        <v/>
      </c>
      <c r="G110" s="138" t="str">
        <f>IF('PROGRAM JADWAL GENAP'!M109="","",'PROGRAM JADWAL GENAP'!M109)</f>
        <v/>
      </c>
      <c r="H110" s="139" t="str">
        <f>IF('PROGRAM JADWAL GENAP'!N109="","",'PROGRAM JADWAL GENAP'!N109)</f>
        <v/>
      </c>
      <c r="I110" s="139" t="str">
        <f>IF('PROGRAM JADWAL GENAP'!O109="","",'PROGRAM JADWAL GENAP'!O109)</f>
        <v/>
      </c>
      <c r="J110" s="139" t="str">
        <f>IF('PROGRAM JADWAL GENAP'!P109="","",'PROGRAM JADWAL GENAP'!P109)</f>
        <v/>
      </c>
      <c r="K110" s="136" t="str">
        <f>IF('PROGRAM JADWAL GENAP'!S109="","",'PROGRAM JADWAL GENAP'!S109)</f>
        <v/>
      </c>
      <c r="L110" s="228" t="str">
        <f>IF('PROGRAM JADWAL GENAP'!T109="","",'PROGRAM JADWAL GENAP'!T109)</f>
        <v/>
      </c>
    </row>
    <row r="111" spans="1:12" ht="40.049999999999997" customHeight="1" x14ac:dyDescent="0.3">
      <c r="A111" s="254" t="str">
        <f>IF('PROGRAM JADWAL GENAP'!B110="","",'PROGRAM JADWAL GENAP'!B110)</f>
        <v/>
      </c>
      <c r="B111" s="138" t="str">
        <f>IF('PROGRAM JADWAL GENAP'!C110="","",'PROGRAM JADWAL GENAP'!C110)</f>
        <v/>
      </c>
      <c r="C111" s="138" t="str">
        <f>IF('PROGRAM JADWAL GENAP'!D110="","",'PROGRAM JADWAL GENAP'!D110)</f>
        <v/>
      </c>
      <c r="D111" s="138" t="str">
        <f>IF('PROGRAM JADWAL GENAP'!E110="","",'PROGRAM JADWAL GENAP'!E110)</f>
        <v/>
      </c>
      <c r="E111" s="136" t="str">
        <f>IF('PROGRAM JADWAL GENAP'!H110="","",'PROGRAM JADWAL GENAP'!H110)</f>
        <v/>
      </c>
      <c r="F111" s="137" t="str">
        <f>IF('PROGRAM JADWAL GENAP'!I110="","",'PROGRAM JADWAL GENAP'!I110)</f>
        <v/>
      </c>
      <c r="G111" s="138" t="str">
        <f>IF('PROGRAM JADWAL GENAP'!M110="","",'PROGRAM JADWAL GENAP'!M110)</f>
        <v/>
      </c>
      <c r="H111" s="139" t="str">
        <f>IF('PROGRAM JADWAL GENAP'!N110="","",'PROGRAM JADWAL GENAP'!N110)</f>
        <v/>
      </c>
      <c r="I111" s="139" t="str">
        <f>IF('PROGRAM JADWAL GENAP'!O110="","",'PROGRAM JADWAL GENAP'!O110)</f>
        <v/>
      </c>
      <c r="J111" s="139" t="str">
        <f>IF('PROGRAM JADWAL GENAP'!P110="","",'PROGRAM JADWAL GENAP'!P110)</f>
        <v/>
      </c>
      <c r="K111" s="136" t="str">
        <f>IF('PROGRAM JADWAL GENAP'!S110="","",'PROGRAM JADWAL GENAP'!S110)</f>
        <v/>
      </c>
      <c r="L111" s="228" t="str">
        <f>IF('PROGRAM JADWAL GENAP'!T110="","",'PROGRAM JADWAL GENAP'!T110)</f>
        <v/>
      </c>
    </row>
    <row r="112" spans="1:12" ht="40.049999999999997" customHeight="1" x14ac:dyDescent="0.3">
      <c r="A112" s="261" t="str">
        <f>IF('PROGRAM JADWAL GENAP'!B111="","",'PROGRAM JADWAL GENAP'!B111)</f>
        <v>Jumat</v>
      </c>
      <c r="B112" s="138">
        <f>IF('PROGRAM JADWAL GENAP'!C111="","",'PROGRAM JADWAL GENAP'!C111)</f>
        <v>0.3125</v>
      </c>
      <c r="C112" s="138" t="str">
        <f>IF('PROGRAM JADWAL GENAP'!D111="","",'PROGRAM JADWAL GENAP'!D111)</f>
        <v>s/d</v>
      </c>
      <c r="D112" s="138">
        <f>IF('PROGRAM JADWAL GENAP'!E111="","",'PROGRAM JADWAL GENAP'!E111)</f>
        <v>0.38194444444444442</v>
      </c>
      <c r="E112" s="136" t="str">
        <f>IF('PROGRAM JADWAL GENAP'!H111="","",'PROGRAM JADWAL GENAP'!H111)</f>
        <v>UMG-55201-104</v>
      </c>
      <c r="F112" s="137" t="str">
        <f>IF('PROGRAM JADWAL GENAP'!I111="","",'PROGRAM JADWAL GENAP'!I111)</f>
        <v>Kewarganegaraan</v>
      </c>
      <c r="G112" s="138" t="str">
        <f>IF('PROGRAM JADWAL GENAP'!M111="","",'PROGRAM JADWAL GENAP'!M111)</f>
        <v>C</v>
      </c>
      <c r="H112" s="139">
        <f>IF('PROGRAM JADWAL GENAP'!N111="","",'PROGRAM JADWAL GENAP'!N111)</f>
        <v>2</v>
      </c>
      <c r="I112" s="139">
        <f>IF('PROGRAM JADWAL GENAP'!O111="","",'PROGRAM JADWAL GENAP'!O111)</f>
        <v>2</v>
      </c>
      <c r="J112" s="139">
        <f>IF('PROGRAM JADWAL GENAP'!P111="","",'PROGRAM JADWAL GENAP'!P111)</f>
        <v>28</v>
      </c>
      <c r="K112" s="136" t="str">
        <f>IF('PROGRAM JADWAL GENAP'!S111="","",'PROGRAM JADWAL GENAP'!S111)</f>
        <v>MKU</v>
      </c>
      <c r="L112" s="228" t="str">
        <f>IF('PROGRAM JADWAL GENAP'!T111="","",'PROGRAM JADWAL GENAP'!T111)</f>
        <v/>
      </c>
    </row>
    <row r="113" spans="1:12" ht="40.049999999999997" customHeight="1" x14ac:dyDescent="0.3">
      <c r="A113" s="262"/>
      <c r="B113" s="138">
        <f>IF('PROGRAM JADWAL GENAP'!C112="","",'PROGRAM JADWAL GENAP'!C112)</f>
        <v>0.3125</v>
      </c>
      <c r="C113" s="138" t="str">
        <f>IF('PROGRAM JADWAL GENAP'!D112="","",'PROGRAM JADWAL GENAP'!D112)</f>
        <v>s/d</v>
      </c>
      <c r="D113" s="138">
        <f>IF('PROGRAM JADWAL GENAP'!E112="","",'PROGRAM JADWAL GENAP'!E112)</f>
        <v>0.38194444444444442</v>
      </c>
      <c r="E113" s="136" t="str">
        <f>IF('PROGRAM JADWAL GENAP'!H112="","",'PROGRAM JADWAL GENAP'!H112)</f>
        <v>INF-55201-213</v>
      </c>
      <c r="F113" s="137" t="str">
        <f>IF('PROGRAM JADWAL GENAP'!I112="","",'PROGRAM JADWAL GENAP'!I112)</f>
        <v>Sistem Informasi</v>
      </c>
      <c r="G113" s="138" t="str">
        <f>IF('PROGRAM JADWAL GENAP'!M112="","",'PROGRAM JADWAL GENAP'!M112)</f>
        <v>A</v>
      </c>
      <c r="H113" s="139">
        <f>IF('PROGRAM JADWAL GENAP'!N112="","",'PROGRAM JADWAL GENAP'!N112)</f>
        <v>4</v>
      </c>
      <c r="I113" s="139">
        <f>IF('PROGRAM JADWAL GENAP'!O112="","",'PROGRAM JADWAL GENAP'!O112)</f>
        <v>2</v>
      </c>
      <c r="J113" s="139">
        <f>IF('PROGRAM JADWAL GENAP'!P112="","",'PROGRAM JADWAL GENAP'!P112)</f>
        <v>28</v>
      </c>
      <c r="K113" s="136" t="str">
        <f>IF('PROGRAM JADWAL GENAP'!S112="","",'PROGRAM JADWAL GENAP'!S112)</f>
        <v>Yulianti,S.Kom, MMSI / Eva Faja Ripanti, S.Kom, MMSI, Ph.D</v>
      </c>
      <c r="L113" s="228" t="str">
        <f>IF('PROGRAM JADWAL GENAP'!T112="","",'PROGRAM JADWAL GENAP'!T112)</f>
        <v/>
      </c>
    </row>
    <row r="114" spans="1:12" ht="40.049999999999997" customHeight="1" x14ac:dyDescent="0.3">
      <c r="A114" s="262"/>
      <c r="B114" s="138">
        <f>IF('PROGRAM JADWAL GENAP'!C113="","",'PROGRAM JADWAL GENAP'!C113)</f>
        <v>0.3125</v>
      </c>
      <c r="C114" s="138" t="str">
        <f>IF('PROGRAM JADWAL GENAP'!D113="","",'PROGRAM JADWAL GENAP'!D113)</f>
        <v>s/d</v>
      </c>
      <c r="D114" s="138">
        <f>IF('PROGRAM JADWAL GENAP'!E113="","",'PROGRAM JADWAL GENAP'!E113)</f>
        <v>0.38194444444444442</v>
      </c>
      <c r="E114" s="136" t="str">
        <f>IF('PROGRAM JADWAL GENAP'!H113="","",'PROGRAM JADWAL GENAP'!H113)</f>
        <v xml:space="preserve"> INF-55201-312</v>
      </c>
      <c r="F114" s="137" t="str">
        <f>IF('PROGRAM JADWAL GENAP'!I113="","",'PROGRAM JADWAL GENAP'!I113)</f>
        <v>Sosio dan Etika Profesi</v>
      </c>
      <c r="G114" s="138" t="str">
        <f>IF('PROGRAM JADWAL GENAP'!M113="","",'PROGRAM JADWAL GENAP'!M113)</f>
        <v>C</v>
      </c>
      <c r="H114" s="139">
        <f>IF('PROGRAM JADWAL GENAP'!N113="","",'PROGRAM JADWAL GENAP'!N113)</f>
        <v>6</v>
      </c>
      <c r="I114" s="139">
        <f>IF('PROGRAM JADWAL GENAP'!O113="","",'PROGRAM JADWAL GENAP'!O113)</f>
        <v>2</v>
      </c>
      <c r="J114" s="139">
        <f>IF('PROGRAM JADWAL GENAP'!P113="","",'PROGRAM JADWAL GENAP'!P113)</f>
        <v>28</v>
      </c>
      <c r="K114" s="136" t="str">
        <f>IF('PROGRAM JADWAL GENAP'!S113="","",'PROGRAM JADWAL GENAP'!S113)</f>
        <v>Hafiz Muhardi, S.T., M.Kom</v>
      </c>
      <c r="L114" s="228" t="str">
        <f>IF('PROGRAM JADWAL GENAP'!T113="","",'PROGRAM JADWAL GENAP'!T113)</f>
        <v/>
      </c>
    </row>
    <row r="115" spans="1:12" ht="40.049999999999997" customHeight="1" x14ac:dyDescent="0.3">
      <c r="A115" s="262"/>
      <c r="B115" s="138">
        <f>IF('PROGRAM JADWAL GENAP'!C114="","",'PROGRAM JADWAL GENAP'!C114)</f>
        <v>0.3125</v>
      </c>
      <c r="C115" s="138" t="str">
        <f>IF('PROGRAM JADWAL GENAP'!D114="","",'PROGRAM JADWAL GENAP'!D114)</f>
        <v>s/d</v>
      </c>
      <c r="D115" s="138">
        <f>IF('PROGRAM JADWAL GENAP'!E114="","",'PROGRAM JADWAL GENAP'!E114)</f>
        <v>0.38194444444444442</v>
      </c>
      <c r="E115" s="136" t="str">
        <f>IF('PROGRAM JADWAL GENAP'!H114="","",'PROGRAM JADWAL GENAP'!H114)</f>
        <v xml:space="preserve"> INF-55201-307</v>
      </c>
      <c r="F115" s="137" t="str">
        <f>IF('PROGRAM JADWAL GENAP'!I114="","",'PROGRAM JADWAL GENAP'!I114)</f>
        <v xml:space="preserve">Teori Komputer Grafis </v>
      </c>
      <c r="G115" s="138" t="str">
        <f>IF('PROGRAM JADWAL GENAP'!M114="","",'PROGRAM JADWAL GENAP'!M114)</f>
        <v>A</v>
      </c>
      <c r="H115" s="139">
        <f>IF('PROGRAM JADWAL GENAP'!N114="","",'PROGRAM JADWAL GENAP'!N114)</f>
        <v>6</v>
      </c>
      <c r="I115" s="139">
        <f>IF('PROGRAM JADWAL GENAP'!O114="","",'PROGRAM JADWAL GENAP'!O114)</f>
        <v>2</v>
      </c>
      <c r="J115" s="139">
        <f>IF('PROGRAM JADWAL GENAP'!P114="","",'PROGRAM JADWAL GENAP'!P114)</f>
        <v>28</v>
      </c>
      <c r="K115" s="136" t="str">
        <f>IF('PROGRAM JADWAL GENAP'!S114="","",'PROGRAM JADWAL GENAP'!S114)</f>
        <v>H. Hengky Anra, S.T., M.Kom</v>
      </c>
      <c r="L115" s="228" t="str">
        <f>IF('PROGRAM JADWAL GENAP'!T114="","",'PROGRAM JADWAL GENAP'!T114)</f>
        <v/>
      </c>
    </row>
    <row r="116" spans="1:12" ht="40.049999999999997" customHeight="1" x14ac:dyDescent="0.3">
      <c r="A116" s="262"/>
      <c r="B116" s="138" t="str">
        <f>IF('PROGRAM JADWAL GENAP'!C115="","",'PROGRAM JADWAL GENAP'!C115)</f>
        <v/>
      </c>
      <c r="C116" s="138" t="str">
        <f>IF('PROGRAM JADWAL GENAP'!D115="","",'PROGRAM JADWAL GENAP'!D115)</f>
        <v/>
      </c>
      <c r="D116" s="138" t="str">
        <f>IF('PROGRAM JADWAL GENAP'!E115="","",'PROGRAM JADWAL GENAP'!E115)</f>
        <v/>
      </c>
      <c r="E116" s="136" t="str">
        <f>IF('PROGRAM JADWAL GENAP'!H115="","",'PROGRAM JADWAL GENAP'!H115)</f>
        <v/>
      </c>
      <c r="F116" s="137" t="str">
        <f>IF('PROGRAM JADWAL GENAP'!I115="","",'PROGRAM JADWAL GENAP'!I115)</f>
        <v/>
      </c>
      <c r="G116" s="138" t="str">
        <f>IF('PROGRAM JADWAL GENAP'!M115="","",'PROGRAM JADWAL GENAP'!M115)</f>
        <v/>
      </c>
      <c r="H116" s="139" t="str">
        <f>IF('PROGRAM JADWAL GENAP'!N115="","",'PROGRAM JADWAL GENAP'!N115)</f>
        <v/>
      </c>
      <c r="I116" s="139" t="str">
        <f>IF('PROGRAM JADWAL GENAP'!O115="","",'PROGRAM JADWAL GENAP'!O115)</f>
        <v/>
      </c>
      <c r="J116" s="139" t="str">
        <f>IF('PROGRAM JADWAL GENAP'!P115="","",'PROGRAM JADWAL GENAP'!P115)</f>
        <v/>
      </c>
      <c r="K116" s="136" t="str">
        <f>IF('PROGRAM JADWAL GENAP'!S115="","",'PROGRAM JADWAL GENAP'!S115)</f>
        <v/>
      </c>
      <c r="L116" s="228" t="str">
        <f>IF('PROGRAM JADWAL GENAP'!T115="","",'PROGRAM JADWAL GENAP'!T115)</f>
        <v/>
      </c>
    </row>
    <row r="117" spans="1:12" ht="40.049999999999997" customHeight="1" x14ac:dyDescent="0.3">
      <c r="A117" s="262"/>
      <c r="B117" s="138">
        <f>IF('PROGRAM JADWAL GENAP'!C116="","",'PROGRAM JADWAL GENAP'!C116)</f>
        <v>0.3888888888888889</v>
      </c>
      <c r="C117" s="138" t="str">
        <f>IF('PROGRAM JADWAL GENAP'!D116="","",'PROGRAM JADWAL GENAP'!D116)</f>
        <v>s/d</v>
      </c>
      <c r="D117" s="138">
        <f>IF('PROGRAM JADWAL GENAP'!E116="","",'PROGRAM JADWAL GENAP'!E116)</f>
        <v>0.45833333333333337</v>
      </c>
      <c r="E117" s="136" t="str">
        <f>IF('PROGRAM JADWAL GENAP'!H116="","",'PROGRAM JADWAL GENAP'!H116)</f>
        <v>INF-55201-109</v>
      </c>
      <c r="F117" s="137" t="str">
        <f>IF('PROGRAM JADWAL GENAP'!I116="","",'PROGRAM JADWAL GENAP'!I116)</f>
        <v>Struktur  Data  dan Algoritma*</v>
      </c>
      <c r="G117" s="138" t="str">
        <f>IF('PROGRAM JADWAL GENAP'!M116="","",'PROGRAM JADWAL GENAP'!M116)</f>
        <v>B</v>
      </c>
      <c r="H117" s="139">
        <f>IF('PROGRAM JADWAL GENAP'!N116="","",'PROGRAM JADWAL GENAP'!N116)</f>
        <v>2</v>
      </c>
      <c r="I117" s="139">
        <f>IF('PROGRAM JADWAL GENAP'!O116="","",'PROGRAM JADWAL GENAP'!O116)</f>
        <v>4</v>
      </c>
      <c r="J117" s="139">
        <f>IF('PROGRAM JADWAL GENAP'!P116="","",'PROGRAM JADWAL GENAP'!P116)</f>
        <v>35</v>
      </c>
      <c r="K117" s="136" t="str">
        <f>IF('PROGRAM JADWAL GENAP'!S116="","",'PROGRAM JADWAL GENAP'!S116)</f>
        <v>Morteza Muthahhari, S.Kom., M.T.I / Fauzan Asrin, S.Kom, M. Kom.</v>
      </c>
      <c r="L117" s="228" t="str">
        <f>IF('PROGRAM JADWAL GENAP'!T116="","",'PROGRAM JADWAL GENAP'!T116)</f>
        <v/>
      </c>
    </row>
    <row r="118" spans="1:12" ht="40.049999999999997" customHeight="1" x14ac:dyDescent="0.3">
      <c r="A118" s="262"/>
      <c r="B118" s="138">
        <f>IF('PROGRAM JADWAL GENAP'!C117="","",'PROGRAM JADWAL GENAP'!C117)</f>
        <v>0.3888888888888889</v>
      </c>
      <c r="C118" s="138" t="str">
        <f>IF('PROGRAM JADWAL GENAP'!D117="","",'PROGRAM JADWAL GENAP'!D117)</f>
        <v>s/d</v>
      </c>
      <c r="D118" s="138">
        <f>IF('PROGRAM JADWAL GENAP'!E117="","",'PROGRAM JADWAL GENAP'!E117)</f>
        <v>0.45833333333333337</v>
      </c>
      <c r="E118" s="136" t="str">
        <f>IF('PROGRAM JADWAL GENAP'!H117="","",'PROGRAM JADWAL GENAP'!H117)</f>
        <v>INF-55201-208</v>
      </c>
      <c r="F118" s="137" t="str">
        <f>IF('PROGRAM JADWAL GENAP'!I117="","",'PROGRAM JADWAL GENAP'!I117)</f>
        <v>Manajemen Basis Data*</v>
      </c>
      <c r="G118" s="138" t="str">
        <f>IF('PROGRAM JADWAL GENAP'!M117="","",'PROGRAM JADWAL GENAP'!M117)</f>
        <v>C</v>
      </c>
      <c r="H118" s="139">
        <f>IF('PROGRAM JADWAL GENAP'!N117="","",'PROGRAM JADWAL GENAP'!N117)</f>
        <v>4</v>
      </c>
      <c r="I118" s="139">
        <f>IF('PROGRAM JADWAL GENAP'!O117="","",'PROGRAM JADWAL GENAP'!O117)</f>
        <v>4</v>
      </c>
      <c r="J118" s="139">
        <f>IF('PROGRAM JADWAL GENAP'!P117="","",'PROGRAM JADWAL GENAP'!P117)</f>
        <v>35</v>
      </c>
      <c r="K118" s="136" t="str">
        <f>IF('PROGRAM JADWAL GENAP'!S117="","",'PROGRAM JADWAL GENAP'!S117)</f>
        <v>Helen Sastypratiwi, S.T., M.Eng / Haried Novriando, S.Kom, M.Eng</v>
      </c>
      <c r="L118" s="228" t="str">
        <f>IF('PROGRAM JADWAL GENAP'!T117="","",'PROGRAM JADWAL GENAP'!T117)</f>
        <v/>
      </c>
    </row>
    <row r="119" spans="1:12" ht="40.049999999999997" customHeight="1" x14ac:dyDescent="0.3">
      <c r="A119" s="262"/>
      <c r="B119" s="138">
        <f>IF('PROGRAM JADWAL GENAP'!C118="","",'PROGRAM JADWAL GENAP'!C118)</f>
        <v>0.3888888888888889</v>
      </c>
      <c r="C119" s="138" t="str">
        <f>IF('PROGRAM JADWAL GENAP'!D118="","",'PROGRAM JADWAL GENAP'!D118)</f>
        <v>s/d</v>
      </c>
      <c r="D119" s="138">
        <f>IF('PROGRAM JADWAL GENAP'!E118="","",'PROGRAM JADWAL GENAP'!E118)</f>
        <v>0.45833333333333337</v>
      </c>
      <c r="E119" s="136" t="str">
        <f>IF('PROGRAM JADWAL GENAP'!H118="","",'PROGRAM JADWAL GENAP'!H118)</f>
        <v>INF-55201-211</v>
      </c>
      <c r="F119" s="137" t="str">
        <f>IF('PROGRAM JADWAL GENAP'!I118="","",'PROGRAM JADWAL GENAP'!I118)</f>
        <v>Pemrograman  Berorientasi  Objek * </v>
      </c>
      <c r="G119" s="138" t="str">
        <f>IF('PROGRAM JADWAL GENAP'!M118="","",'PROGRAM JADWAL GENAP'!M118)</f>
        <v>B</v>
      </c>
      <c r="H119" s="139">
        <f>IF('PROGRAM JADWAL GENAP'!N118="","",'PROGRAM JADWAL GENAP'!N118)</f>
        <v>4</v>
      </c>
      <c r="I119" s="139">
        <f>IF('PROGRAM JADWAL GENAP'!O118="","",'PROGRAM JADWAL GENAP'!O118)</f>
        <v>4</v>
      </c>
      <c r="J119" s="139">
        <f>IF('PROGRAM JADWAL GENAP'!P118="","",'PROGRAM JADWAL GENAP'!P118)</f>
        <v>35</v>
      </c>
      <c r="K119" s="136" t="str">
        <f>IF('PROGRAM JADWAL GENAP'!S118="","",'PROGRAM JADWAL GENAP'!S118)</f>
        <v>Rudy Dwi Nyoto, S.T., M.Eng</v>
      </c>
      <c r="L119" s="228" t="str">
        <f>IF('PROGRAM JADWAL GENAP'!T118="","",'PROGRAM JADWAL GENAP'!T118)</f>
        <v/>
      </c>
    </row>
    <row r="120" spans="1:12" ht="40.049999999999997" customHeight="1" x14ac:dyDescent="0.3">
      <c r="A120" s="262"/>
      <c r="B120" s="138">
        <f>IF('PROGRAM JADWAL GENAP'!C119="","",'PROGRAM JADWAL GENAP'!C119)</f>
        <v>0.3888888888888889</v>
      </c>
      <c r="C120" s="138" t="str">
        <f>IF('PROGRAM JADWAL GENAP'!D119="","",'PROGRAM JADWAL GENAP'!D119)</f>
        <v>s/d</v>
      </c>
      <c r="D120" s="138">
        <f>IF('PROGRAM JADWAL GENAP'!E119="","",'PROGRAM JADWAL GENAP'!E119)</f>
        <v>0.45833333333333337</v>
      </c>
      <c r="E120" s="136" t="str">
        <f>IF('PROGRAM JADWAL GENAP'!H119="","",'PROGRAM JADWAL GENAP'!H119)</f>
        <v xml:space="preserve"> INF-55201-316</v>
      </c>
      <c r="F120" s="137" t="str">
        <f>IF('PROGRAM JADWAL GENAP'!I119="","",'PROGRAM JADWAL GENAP'!I119)</f>
        <v>Proyek Perangkat  Lunak*</v>
      </c>
      <c r="G120" s="138" t="str">
        <f>IF('PROGRAM JADWAL GENAP'!M119="","",'PROGRAM JADWAL GENAP'!M119)</f>
        <v>C</v>
      </c>
      <c r="H120" s="139">
        <f>IF('PROGRAM JADWAL GENAP'!N119="","",'PROGRAM JADWAL GENAP'!N119)</f>
        <v>6</v>
      </c>
      <c r="I120" s="139">
        <f>IF('PROGRAM JADWAL GENAP'!O119="","",'PROGRAM JADWAL GENAP'!O119)</f>
        <v>4</v>
      </c>
      <c r="J120" s="139">
        <f>IF('PROGRAM JADWAL GENAP'!P119="","",'PROGRAM JADWAL GENAP'!P119)</f>
        <v>35</v>
      </c>
      <c r="K120" s="136" t="str">
        <f>IF('PROGRAM JADWAL GENAP'!S119="","",'PROGRAM JADWAL GENAP'!S119)</f>
        <v>Novi Safriadi, S.T., M.T.</v>
      </c>
      <c r="L120" s="228" t="str">
        <f>IF('PROGRAM JADWAL GENAP'!T119="","",'PROGRAM JADWAL GENAP'!T119)</f>
        <v/>
      </c>
    </row>
    <row r="121" spans="1:12" ht="40.049999999999997" customHeight="1" x14ac:dyDescent="0.3">
      <c r="A121" s="262"/>
      <c r="B121" s="138" t="str">
        <f>IF('PROGRAM JADWAL GENAP'!C120="","",'PROGRAM JADWAL GENAP'!C120)</f>
        <v/>
      </c>
      <c r="C121" s="138" t="str">
        <f>IF('PROGRAM JADWAL GENAP'!D120="","",'PROGRAM JADWAL GENAP'!D120)</f>
        <v/>
      </c>
      <c r="D121" s="138" t="str">
        <f>IF('PROGRAM JADWAL GENAP'!E120="","",'PROGRAM JADWAL GENAP'!E120)</f>
        <v/>
      </c>
      <c r="E121" s="136" t="str">
        <f>IF('PROGRAM JADWAL GENAP'!H120="","",'PROGRAM JADWAL GENAP'!H120)</f>
        <v/>
      </c>
      <c r="F121" s="137" t="str">
        <f>IF('PROGRAM JADWAL GENAP'!I120="","",'PROGRAM JADWAL GENAP'!I120)</f>
        <v/>
      </c>
      <c r="G121" s="138" t="str">
        <f>IF('PROGRAM JADWAL GENAP'!M120="","",'PROGRAM JADWAL GENAP'!M120)</f>
        <v/>
      </c>
      <c r="H121" s="139" t="str">
        <f>IF('PROGRAM JADWAL GENAP'!N120="","",'PROGRAM JADWAL GENAP'!N120)</f>
        <v/>
      </c>
      <c r="I121" s="139" t="str">
        <f>IF('PROGRAM JADWAL GENAP'!O120="","",'PROGRAM JADWAL GENAP'!O120)</f>
        <v/>
      </c>
      <c r="J121" s="139" t="str">
        <f>IF('PROGRAM JADWAL GENAP'!P120="","",'PROGRAM JADWAL GENAP'!P120)</f>
        <v/>
      </c>
      <c r="K121" s="136" t="str">
        <f>IF('PROGRAM JADWAL GENAP'!S120="","",'PROGRAM JADWAL GENAP'!S120)</f>
        <v/>
      </c>
      <c r="L121" s="228" t="str">
        <f>IF('PROGRAM JADWAL GENAP'!T120="","",'PROGRAM JADWAL GENAP'!T120)</f>
        <v/>
      </c>
    </row>
    <row r="122" spans="1:12" ht="40.049999999999997" customHeight="1" x14ac:dyDescent="0.3">
      <c r="A122" s="262"/>
      <c r="B122" s="138">
        <f>IF('PROGRAM JADWAL GENAP'!C121="","",'PROGRAM JADWAL GENAP'!C121)</f>
        <v>0.5625</v>
      </c>
      <c r="C122" s="138" t="str">
        <f>IF('PROGRAM JADWAL GENAP'!D121="","",'PROGRAM JADWAL GENAP'!D121)</f>
        <v>s/d</v>
      </c>
      <c r="D122" s="138">
        <f>IF('PROGRAM JADWAL GENAP'!E121="","",'PROGRAM JADWAL GENAP'!E121)</f>
        <v>0.66666666666666663</v>
      </c>
      <c r="E122" s="136" t="str">
        <f>IF('PROGRAM JADWAL GENAP'!H121="","",'PROGRAM JADWAL GENAP'!H121)</f>
        <v>INF-55201-107</v>
      </c>
      <c r="F122" s="137" t="str">
        <f>IF('PROGRAM JADWAL GENAP'!I121="","",'PROGRAM JADWAL GENAP'!I121)</f>
        <v>Organisasi  dan Arsitektur Komputer  </v>
      </c>
      <c r="G122" s="138" t="str">
        <f>IF('PROGRAM JADWAL GENAP'!M121="","",'PROGRAM JADWAL GENAP'!M121)</f>
        <v>B</v>
      </c>
      <c r="H122" s="139">
        <f>IF('PROGRAM JADWAL GENAP'!N121="","",'PROGRAM JADWAL GENAP'!N121)</f>
        <v>2</v>
      </c>
      <c r="I122" s="139">
        <f>IF('PROGRAM JADWAL GENAP'!O121="","",'PROGRAM JADWAL GENAP'!O121)</f>
        <v>3</v>
      </c>
      <c r="J122" s="139">
        <f>IF('PROGRAM JADWAL GENAP'!P121="","",'PROGRAM JADWAL GENAP'!P121)</f>
        <v>28</v>
      </c>
      <c r="K122" s="136" t="str">
        <f>IF('PROGRAM JADWAL GENAP'!S121="","",'PROGRAM JADWAL GENAP'!S121)</f>
        <v>Enda Esyudha Pratama, S.T., M.T. / Khairul Hafidh, S.T., M.Kom.</v>
      </c>
      <c r="L122" s="228" t="str">
        <f>IF('PROGRAM JADWAL GENAP'!T121="","",'PROGRAM JADWAL GENAP'!T121)</f>
        <v/>
      </c>
    </row>
    <row r="123" spans="1:12" ht="40.049999999999997" customHeight="1" x14ac:dyDescent="0.3">
      <c r="A123" s="262"/>
      <c r="B123" s="138">
        <f>IF('PROGRAM JADWAL GENAP'!C122="","",'PROGRAM JADWAL GENAP'!C122)</f>
        <v>0.5625</v>
      </c>
      <c r="C123" s="138" t="str">
        <f>IF('PROGRAM JADWAL GENAP'!D122="","",'PROGRAM JADWAL GENAP'!D122)</f>
        <v>s/d</v>
      </c>
      <c r="D123" s="138">
        <f>IF('PROGRAM JADWAL GENAP'!E122="","",'PROGRAM JADWAL GENAP'!E122)</f>
        <v>0.66666666666666663</v>
      </c>
      <c r="E123" s="136" t="str">
        <f>IF('PROGRAM JADWAL GENAP'!H122="","",'PROGRAM JADWAL GENAP'!H122)</f>
        <v>INF-55201-105</v>
      </c>
      <c r="F123" s="137" t="str">
        <f>IF('PROGRAM JADWAL GENAP'!I122="","",'PROGRAM JADWAL GENAP'!I122)</f>
        <v>Probabilitas  dan  Statistik  </v>
      </c>
      <c r="G123" s="138" t="str">
        <f>IF('PROGRAM JADWAL GENAP'!M122="","",'PROGRAM JADWAL GENAP'!M122)</f>
        <v>D</v>
      </c>
      <c r="H123" s="139">
        <f>IF('PROGRAM JADWAL GENAP'!N122="","",'PROGRAM JADWAL GENAP'!N122)</f>
        <v>2</v>
      </c>
      <c r="I123" s="139">
        <f>IF('PROGRAM JADWAL GENAP'!O122="","",'PROGRAM JADWAL GENAP'!O122)</f>
        <v>3</v>
      </c>
      <c r="J123" s="139">
        <f>IF('PROGRAM JADWAL GENAP'!P122="","",'PROGRAM JADWAL GENAP'!P122)</f>
        <v>28</v>
      </c>
      <c r="K123" s="136" t="str">
        <f>IF('PROGRAM JADWAL GENAP'!S122="","",'PROGRAM JADWAL GENAP'!S122)</f>
        <v>Yulianti,S.Kom, MMSI / Niken Candraningrum, S.T., M.Cs.</v>
      </c>
      <c r="L123" s="228" t="str">
        <f>IF('PROGRAM JADWAL GENAP'!T122="","",'PROGRAM JADWAL GENAP'!T122)</f>
        <v/>
      </c>
    </row>
    <row r="124" spans="1:12" ht="40.049999999999997" customHeight="1" x14ac:dyDescent="0.3">
      <c r="A124" s="262"/>
      <c r="B124" s="138">
        <f>IF('PROGRAM JADWAL GENAP'!C123="","",'PROGRAM JADWAL GENAP'!C123)</f>
        <v>0.5625</v>
      </c>
      <c r="C124" s="138" t="str">
        <f>IF('PROGRAM JADWAL GENAP'!D123="","",'PROGRAM JADWAL GENAP'!D123)</f>
        <v>s/d</v>
      </c>
      <c r="D124" s="138">
        <f>IF('PROGRAM JADWAL GENAP'!E123="","",'PROGRAM JADWAL GENAP'!E123)</f>
        <v>0.66666666666666663</v>
      </c>
      <c r="E124" s="136" t="str">
        <f>IF('PROGRAM JADWAL GENAP'!H123="","",'PROGRAM JADWAL GENAP'!H123)</f>
        <v>INF-55201-210</v>
      </c>
      <c r="F124" s="137" t="str">
        <f>IF('PROGRAM JADWAL GENAP'!I123="","",'PROGRAM JADWAL GENAP'!I123)</f>
        <v>Sistem Paralel dan Terdistribusi</v>
      </c>
      <c r="G124" s="138" t="str">
        <f>IF('PROGRAM JADWAL GENAP'!M123="","",'PROGRAM JADWAL GENAP'!M123)</f>
        <v>B</v>
      </c>
      <c r="H124" s="139">
        <f>IF('PROGRAM JADWAL GENAP'!N123="","",'PROGRAM JADWAL GENAP'!N123)</f>
        <v>4</v>
      </c>
      <c r="I124" s="139">
        <f>IF('PROGRAM JADWAL GENAP'!O123="","",'PROGRAM JADWAL GENAP'!O123)</f>
        <v>3</v>
      </c>
      <c r="J124" s="139">
        <f>IF('PROGRAM JADWAL GENAP'!P123="","",'PROGRAM JADWAL GENAP'!P123)</f>
        <v>28</v>
      </c>
      <c r="K124" s="136" t="str">
        <f>IF('PROGRAM JADWAL GENAP'!S123="","",'PROGRAM JADWAL GENAP'!S123)</f>
        <v>Helfi Nasution, S.Kom, M.Cs</v>
      </c>
      <c r="L124" s="228" t="str">
        <f>IF('PROGRAM JADWAL GENAP'!T123="","",'PROGRAM JADWAL GENAP'!T123)</f>
        <v/>
      </c>
    </row>
    <row r="125" spans="1:12" ht="40.049999999999997" customHeight="1" x14ac:dyDescent="0.3">
      <c r="A125" s="262"/>
      <c r="B125" s="138">
        <f>IF('PROGRAM JADWAL GENAP'!C124="","",'PROGRAM JADWAL GENAP'!C124)</f>
        <v>0.5625</v>
      </c>
      <c r="C125" s="138" t="str">
        <f>IF('PROGRAM JADWAL GENAP'!D124="","",'PROGRAM JADWAL GENAP'!D124)</f>
        <v>s/d</v>
      </c>
      <c r="D125" s="138">
        <f>IF('PROGRAM JADWAL GENAP'!E124="","",'PROGRAM JADWAL GENAP'!E124)</f>
        <v>0.66666666666666663</v>
      </c>
      <c r="E125" s="136" t="str">
        <f>IF('PROGRAM JADWAL GENAP'!H124="","",'PROGRAM JADWAL GENAP'!H124)</f>
        <v>INF-55201-212</v>
      </c>
      <c r="F125" s="137" t="str">
        <f>IF('PROGRAM JADWAL GENAP'!I124="","",'PROGRAM JADWAL GENAP'!I124)</f>
        <v>Analisis  dan  Perancangan  Sistem  </v>
      </c>
      <c r="G125" s="138" t="str">
        <f>IF('PROGRAM JADWAL GENAP'!M124="","",'PROGRAM JADWAL GENAP'!M124)</f>
        <v>D</v>
      </c>
      <c r="H125" s="139">
        <f>IF('PROGRAM JADWAL GENAP'!N124="","",'PROGRAM JADWAL GENAP'!N124)</f>
        <v>4</v>
      </c>
      <c r="I125" s="139">
        <f>IF('PROGRAM JADWAL GENAP'!O124="","",'PROGRAM JADWAL GENAP'!O124)</f>
        <v>3</v>
      </c>
      <c r="J125" s="139">
        <f>IF('PROGRAM JADWAL GENAP'!P124="","",'PROGRAM JADWAL GENAP'!P124)</f>
        <v>28</v>
      </c>
      <c r="K125" s="136" t="str">
        <f>IF('PROGRAM JADWAL GENAP'!S124="","",'PROGRAM JADWAL GENAP'!S124)</f>
        <v>Anggi Srimurdianti, S.T., M.T. / Fauzan Asrin, S.Kom, M. Kom.</v>
      </c>
      <c r="L125" s="228" t="str">
        <f>IF('PROGRAM JADWAL GENAP'!T124="","",'PROGRAM JADWAL GENAP'!T124)</f>
        <v/>
      </c>
    </row>
    <row r="126" spans="1:12" ht="40.049999999999997" customHeight="1" x14ac:dyDescent="0.3">
      <c r="A126" s="262"/>
      <c r="B126" s="138">
        <f>IF('PROGRAM JADWAL GENAP'!C125="","",'PROGRAM JADWAL GENAP'!C125)</f>
        <v>0.5625</v>
      </c>
      <c r="C126" s="138" t="str">
        <f>IF('PROGRAM JADWAL GENAP'!D125="","",'PROGRAM JADWAL GENAP'!D125)</f>
        <v>s/d</v>
      </c>
      <c r="D126" s="138">
        <f>IF('PROGRAM JADWAL GENAP'!E125="","",'PROGRAM JADWAL GENAP'!E125)</f>
        <v>0.66666666666666663</v>
      </c>
      <c r="E126" s="136" t="str">
        <f>IF('PROGRAM JADWAL GENAP'!H125="","",'PROGRAM JADWAL GENAP'!H125)</f>
        <v xml:space="preserve"> INF-55201-315</v>
      </c>
      <c r="F126" s="137" t="str">
        <f>IF('PROGRAM JADWAL GENAP'!I125="","",'PROGRAM JADWAL GENAP'!I125)</f>
        <v>MK Pilihan Wajib Multimedia &amp; SIG (SIG)</v>
      </c>
      <c r="G126" s="138" t="str">
        <f>IF('PROGRAM JADWAL GENAP'!M125="","",'PROGRAM JADWAL GENAP'!M125)</f>
        <v>B</v>
      </c>
      <c r="H126" s="139">
        <f>IF('PROGRAM JADWAL GENAP'!N125="","",'PROGRAM JADWAL GENAP'!N125)</f>
        <v>6</v>
      </c>
      <c r="I126" s="139">
        <f>IF('PROGRAM JADWAL GENAP'!O125="","",'PROGRAM JADWAL GENAP'!O125)</f>
        <v>3</v>
      </c>
      <c r="J126" s="139">
        <f>IF('PROGRAM JADWAL GENAP'!P125="","",'PROGRAM JADWAL GENAP'!P125)</f>
        <v>28</v>
      </c>
      <c r="K126" s="136" t="str">
        <f>IF('PROGRAM JADWAL GENAP'!S125="","",'PROGRAM JADWAL GENAP'!S125)</f>
        <v>M.Azhar Irwansyah, S.T.,M.Eng. / Dr. Yus Sholva, S.T., M.T.</v>
      </c>
      <c r="L126" s="228" t="str">
        <f>IF('PROGRAM JADWAL GENAP'!T125="","",'PROGRAM JADWAL GENAP'!T125)</f>
        <v/>
      </c>
    </row>
    <row r="127" spans="1:12" ht="40.049999999999997" customHeight="1" x14ac:dyDescent="0.3">
      <c r="A127" s="263"/>
      <c r="B127" s="138">
        <f>IF('PROGRAM JADWAL GENAP'!C126="","",'PROGRAM JADWAL GENAP'!C126)</f>
        <v>0.5625</v>
      </c>
      <c r="C127" s="138" t="str">
        <f>IF('PROGRAM JADWAL GENAP'!D126="","",'PROGRAM JADWAL GENAP'!D126)</f>
        <v>s/d</v>
      </c>
      <c r="D127" s="138">
        <f>IF('PROGRAM JADWAL GENAP'!E126="","",'PROGRAM JADWAL GENAP'!E126)</f>
        <v>0.66666666666666663</v>
      </c>
      <c r="E127" s="136" t="str">
        <f>IF('PROGRAM JADWAL GENAP'!H126="","",'PROGRAM JADWAL GENAP'!H126)</f>
        <v xml:space="preserve"> INF-55201-314</v>
      </c>
      <c r="F127" s="137" t="str">
        <f>IF('PROGRAM JADWAL GENAP'!I126="","",'PROGRAM JADWAL GENAP'!I126)</f>
        <v>MK Pilihan Wajib  Jaringan (Jaringan  Nirkabel  )</v>
      </c>
      <c r="G127" s="138" t="str">
        <f>IF('PROGRAM JADWAL GENAP'!M126="","",'PROGRAM JADWAL GENAP'!M126)</f>
        <v>D</v>
      </c>
      <c r="H127" s="139">
        <f>IF('PROGRAM JADWAL GENAP'!N126="","",'PROGRAM JADWAL GENAP'!N126)</f>
        <v>6</v>
      </c>
      <c r="I127" s="139">
        <f>IF('PROGRAM JADWAL GENAP'!O126="","",'PROGRAM JADWAL GENAP'!O126)</f>
        <v>3</v>
      </c>
      <c r="J127" s="139">
        <f>IF('PROGRAM JADWAL GENAP'!P126="","",'PROGRAM JADWAL GENAP'!P126)</f>
        <v>28</v>
      </c>
      <c r="K127" s="136" t="str">
        <f>IF('PROGRAM JADWAL GENAP'!S126="","",'PROGRAM JADWAL GENAP'!S126)</f>
        <v>Heri Priyanto,S.T., M.T.</v>
      </c>
      <c r="L127" s="228" t="str">
        <f>IF('PROGRAM JADWAL GENAP'!T126="","",'PROGRAM JADWAL GENAP'!T126)</f>
        <v/>
      </c>
    </row>
    <row r="128" spans="1:12" ht="40.049999999999997" customHeight="1" x14ac:dyDescent="0.3">
      <c r="A128" s="254" t="str">
        <f>IF('PROGRAM JADWAL GENAP'!B127="","",'PROGRAM JADWAL GENAP'!B127)</f>
        <v/>
      </c>
      <c r="B128" s="138" t="str">
        <f>IF('PROGRAM JADWAL GENAP'!C127="","",'PROGRAM JADWAL GENAP'!C127)</f>
        <v/>
      </c>
      <c r="C128" s="138" t="str">
        <f>IF('PROGRAM JADWAL GENAP'!D127="","",'PROGRAM JADWAL GENAP'!D127)</f>
        <v/>
      </c>
      <c r="D128" s="138" t="str">
        <f>IF('PROGRAM JADWAL GENAP'!E127="","",'PROGRAM JADWAL GENAP'!E127)</f>
        <v/>
      </c>
      <c r="E128" s="136" t="str">
        <f>IF('PROGRAM JADWAL GENAP'!H127="","",'PROGRAM JADWAL GENAP'!H127)</f>
        <v/>
      </c>
      <c r="F128" s="137" t="str">
        <f>IF('PROGRAM JADWAL GENAP'!I127="","",'PROGRAM JADWAL GENAP'!I127)</f>
        <v/>
      </c>
      <c r="G128" s="138" t="str">
        <f>IF('PROGRAM JADWAL GENAP'!M127="","",'PROGRAM JADWAL GENAP'!M127)</f>
        <v/>
      </c>
      <c r="H128" s="139" t="str">
        <f>IF('PROGRAM JADWAL GENAP'!N127="","",'PROGRAM JADWAL GENAP'!N127)</f>
        <v/>
      </c>
      <c r="I128" s="139" t="str">
        <f>IF('PROGRAM JADWAL GENAP'!O127="","",'PROGRAM JADWAL GENAP'!O127)</f>
        <v/>
      </c>
      <c r="J128" s="139" t="str">
        <f>IF('PROGRAM JADWAL GENAP'!P127="","",'PROGRAM JADWAL GENAP'!P127)</f>
        <v/>
      </c>
      <c r="K128" s="136" t="str">
        <f>IF('PROGRAM JADWAL GENAP'!S127="","",'PROGRAM JADWAL GENAP'!S127)</f>
        <v/>
      </c>
      <c r="L128" s="228" t="str">
        <f>IF('PROGRAM JADWAL GENAP'!T127="","",'PROGRAM JADWAL GENAP'!T127)</f>
        <v/>
      </c>
    </row>
  </sheetData>
  <mergeCells count="10">
    <mergeCell ref="A59:A82"/>
    <mergeCell ref="A34:A56"/>
    <mergeCell ref="A112:A127"/>
    <mergeCell ref="A85:A109"/>
    <mergeCell ref="A2:L2"/>
    <mergeCell ref="A3:L3"/>
    <mergeCell ref="B7:D7"/>
    <mergeCell ref="A8:A31"/>
    <mergeCell ref="A4:L4"/>
    <mergeCell ref="A5:L5"/>
  </mergeCells>
  <conditionalFormatting sqref="A8:L8 A128:L128 B113:L127 A110:L112 B86:L109 A83:L85 B60:L82 A57:L59 B35:L56 A32:L34 B9:L31">
    <cfRule type="containsBlanks" dxfId="494" priority="3">
      <formula>LEN(TRIM(A8))=0</formula>
    </cfRule>
  </conditionalFormatting>
  <pageMargins left="0.7" right="0.7" top="0.75" bottom="0.75" header="0.3" footer="0.3"/>
  <pageSetup paperSize="9" scale="6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0532-3CBF-4B78-A394-4B96848348BC}">
  <dimension ref="A2:AJ144"/>
  <sheetViews>
    <sheetView topLeftCell="C30" zoomScale="85" zoomScaleNormal="85" workbookViewId="0">
      <selection activeCell="H44" sqref="H44"/>
    </sheetView>
  </sheetViews>
  <sheetFormatPr defaultRowHeight="14.4" x14ac:dyDescent="0.3"/>
  <cols>
    <col min="1" max="1" width="15" bestFit="1" customWidth="1"/>
    <col min="2" max="2" width="10.33203125" customWidth="1"/>
    <col min="3" max="4" width="31.21875" customWidth="1"/>
    <col min="5" max="5" width="7.21875" style="208" customWidth="1"/>
    <col min="6" max="6" width="5.21875" style="208" bestFit="1" customWidth="1"/>
    <col min="7" max="7" width="5.21875" style="208" customWidth="1"/>
    <col min="8" max="8" width="32.109375" customWidth="1"/>
    <col min="9" max="9" width="5.21875" style="215" bestFit="1" customWidth="1"/>
    <col min="10" max="10" width="6.33203125" bestFit="1" customWidth="1"/>
    <col min="11" max="11" width="7.5546875" bestFit="1" customWidth="1"/>
    <col min="12" max="12" width="23.77734375" customWidth="1"/>
    <col min="13" max="15" width="18.77734375" customWidth="1"/>
    <col min="17" max="17" width="12.109375" customWidth="1"/>
    <col min="18" max="18" width="5.21875" style="215" bestFit="1" customWidth="1"/>
    <col min="20" max="20" width="11" customWidth="1"/>
    <col min="21" max="21" width="18" customWidth="1"/>
    <col min="22" max="22" width="15.5546875" customWidth="1"/>
    <col min="23" max="23" width="11.33203125" customWidth="1"/>
    <col min="26" max="26" width="19" customWidth="1"/>
    <col min="27" max="27" width="5.21875" style="215" bestFit="1" customWidth="1"/>
    <col min="29" max="29" width="10.33203125" customWidth="1"/>
    <col min="30" max="31" width="18.77734375" customWidth="1"/>
    <col min="32" max="32" width="11.109375" customWidth="1"/>
    <col min="35" max="35" width="17.77734375" customWidth="1"/>
    <col min="36" max="36" width="5.21875" style="215" bestFit="1" customWidth="1"/>
  </cols>
  <sheetData>
    <row r="2" spans="1:36" ht="15.6" x14ac:dyDescent="0.3">
      <c r="A2" s="224" t="s">
        <v>535</v>
      </c>
      <c r="B2" s="225">
        <v>2</v>
      </c>
      <c r="C2" s="218"/>
      <c r="D2" s="218"/>
      <c r="E2" s="268"/>
      <c r="F2" s="268"/>
      <c r="G2" s="204"/>
    </row>
    <row r="3" spans="1:36" x14ac:dyDescent="0.3">
      <c r="A3" s="219" t="s">
        <v>10</v>
      </c>
      <c r="B3" s="220" t="s">
        <v>11</v>
      </c>
      <c r="C3" s="218"/>
      <c r="D3" s="221">
        <v>2</v>
      </c>
      <c r="E3"/>
      <c r="F3"/>
      <c r="G3"/>
    </row>
    <row r="4" spans="1:36" x14ac:dyDescent="0.3">
      <c r="A4" s="219" t="s">
        <v>525</v>
      </c>
      <c r="B4" s="220" t="s">
        <v>524</v>
      </c>
      <c r="C4" s="218"/>
      <c r="D4" s="221">
        <v>2</v>
      </c>
      <c r="E4"/>
      <c r="F4"/>
      <c r="G4"/>
    </row>
    <row r="5" spans="1:36" x14ac:dyDescent="0.3">
      <c r="A5" s="219" t="s">
        <v>13</v>
      </c>
      <c r="B5" s="220" t="s">
        <v>14</v>
      </c>
      <c r="C5" s="218"/>
      <c r="D5" s="221">
        <v>3</v>
      </c>
      <c r="E5"/>
      <c r="F5"/>
      <c r="G5"/>
    </row>
    <row r="6" spans="1:36" x14ac:dyDescent="0.3">
      <c r="A6" s="219" t="s">
        <v>15</v>
      </c>
      <c r="B6" s="220" t="s">
        <v>16</v>
      </c>
      <c r="C6" s="218"/>
      <c r="D6" s="221">
        <v>3</v>
      </c>
      <c r="E6"/>
      <c r="F6"/>
      <c r="G6"/>
    </row>
    <row r="7" spans="1:36" x14ac:dyDescent="0.3">
      <c r="A7" s="219" t="s">
        <v>17</v>
      </c>
      <c r="B7" s="220" t="s">
        <v>18</v>
      </c>
      <c r="C7" s="218"/>
      <c r="D7" s="221">
        <v>3</v>
      </c>
      <c r="E7"/>
      <c r="F7"/>
      <c r="G7"/>
    </row>
    <row r="8" spans="1:36" x14ac:dyDescent="0.3">
      <c r="A8" s="219" t="s">
        <v>19</v>
      </c>
      <c r="B8" s="220" t="s">
        <v>20</v>
      </c>
      <c r="C8" s="218"/>
      <c r="D8" s="221">
        <v>3</v>
      </c>
      <c r="E8"/>
      <c r="F8"/>
      <c r="G8"/>
    </row>
    <row r="9" spans="1:36" x14ac:dyDescent="0.3">
      <c r="A9" s="219" t="s">
        <v>21</v>
      </c>
      <c r="B9" s="220" t="s">
        <v>22</v>
      </c>
      <c r="C9" s="218"/>
      <c r="D9" s="221">
        <v>4</v>
      </c>
      <c r="E9"/>
      <c r="F9"/>
      <c r="G9"/>
    </row>
    <row r="10" spans="1:36" ht="15.6" x14ac:dyDescent="0.3">
      <c r="A10" s="271" t="s">
        <v>543</v>
      </c>
      <c r="B10" s="271"/>
      <c r="C10" s="271"/>
      <c r="D10" s="223">
        <f>SUM(D3:D9)</f>
        <v>20</v>
      </c>
      <c r="E10"/>
      <c r="F10"/>
      <c r="G10"/>
    </row>
    <row r="11" spans="1:36" ht="15.6" x14ac:dyDescent="0.3">
      <c r="A11" s="224" t="s">
        <v>542</v>
      </c>
      <c r="B11" s="225">
        <v>4</v>
      </c>
      <c r="C11" s="218"/>
      <c r="D11" s="218"/>
      <c r="E11"/>
      <c r="F11"/>
      <c r="G11"/>
    </row>
    <row r="12" spans="1:36" x14ac:dyDescent="0.3">
      <c r="A12" s="219" t="s">
        <v>37</v>
      </c>
      <c r="B12" s="220" t="s">
        <v>38</v>
      </c>
      <c r="C12" s="221"/>
      <c r="D12" s="221">
        <v>4</v>
      </c>
      <c r="E12" s="210"/>
      <c r="F12" s="210"/>
      <c r="G12" s="210"/>
      <c r="I12" s="82"/>
      <c r="R12" s="82"/>
      <c r="AA12" s="82"/>
      <c r="AJ12" s="82"/>
    </row>
    <row r="13" spans="1:36" x14ac:dyDescent="0.3">
      <c r="A13" s="219" t="s">
        <v>39</v>
      </c>
      <c r="B13" s="220" t="s">
        <v>40</v>
      </c>
      <c r="C13" s="221"/>
      <c r="D13" s="221">
        <v>2</v>
      </c>
      <c r="E13" s="210"/>
      <c r="F13" s="210"/>
      <c r="G13" s="210"/>
      <c r="I13" s="82"/>
      <c r="R13" s="82"/>
      <c r="AA13" s="82"/>
      <c r="AJ13" s="82"/>
    </row>
    <row r="14" spans="1:36" x14ac:dyDescent="0.3">
      <c r="A14" s="219" t="s">
        <v>41</v>
      </c>
      <c r="B14" s="220" t="s">
        <v>42</v>
      </c>
      <c r="C14" s="221"/>
      <c r="D14" s="221">
        <v>3</v>
      </c>
      <c r="E14" s="210"/>
      <c r="F14" s="210"/>
      <c r="G14" s="210"/>
      <c r="I14" s="82"/>
      <c r="R14" s="82"/>
      <c r="AA14" s="82"/>
      <c r="AJ14" s="82"/>
    </row>
    <row r="15" spans="1:36" x14ac:dyDescent="0.3">
      <c r="A15" s="219" t="s">
        <v>43</v>
      </c>
      <c r="B15" s="220" t="s">
        <v>44</v>
      </c>
      <c r="C15" s="221"/>
      <c r="D15" s="221">
        <v>4</v>
      </c>
      <c r="E15" s="210"/>
      <c r="F15" s="210"/>
      <c r="G15" s="210"/>
      <c r="I15" s="82"/>
      <c r="R15" s="82"/>
      <c r="AA15" s="82"/>
      <c r="AJ15" s="82"/>
    </row>
    <row r="16" spans="1:36" x14ac:dyDescent="0.3">
      <c r="A16" s="219" t="s">
        <v>45</v>
      </c>
      <c r="B16" s="220" t="s">
        <v>46</v>
      </c>
      <c r="C16" s="221"/>
      <c r="D16" s="221">
        <v>3</v>
      </c>
      <c r="E16"/>
      <c r="F16" s="210"/>
      <c r="G16" s="210"/>
      <c r="I16" s="82"/>
      <c r="R16" s="82"/>
      <c r="AA16" s="82"/>
      <c r="AJ16" s="82"/>
    </row>
    <row r="17" spans="1:36" x14ac:dyDescent="0.3">
      <c r="A17" s="219" t="s">
        <v>47</v>
      </c>
      <c r="B17" s="220" t="s">
        <v>48</v>
      </c>
      <c r="C17" s="221"/>
      <c r="D17" s="221">
        <v>2</v>
      </c>
      <c r="E17"/>
      <c r="F17" s="210"/>
      <c r="G17" s="210"/>
      <c r="I17" s="82"/>
      <c r="R17" s="82"/>
      <c r="AA17" s="82"/>
      <c r="AJ17" s="82"/>
    </row>
    <row r="18" spans="1:36" x14ac:dyDescent="0.3">
      <c r="A18" s="219" t="s">
        <v>49</v>
      </c>
      <c r="B18" s="220" t="s">
        <v>50</v>
      </c>
      <c r="C18" s="221"/>
      <c r="D18" s="221">
        <v>3</v>
      </c>
      <c r="E18"/>
      <c r="F18" s="210"/>
      <c r="G18" s="210"/>
      <c r="I18" s="82"/>
      <c r="R18" s="82"/>
      <c r="AA18" s="82"/>
      <c r="AJ18" s="82"/>
    </row>
    <row r="19" spans="1:36" ht="15.6" x14ac:dyDescent="0.3">
      <c r="A19" s="271" t="s">
        <v>543</v>
      </c>
      <c r="B19" s="271"/>
      <c r="C19" s="271"/>
      <c r="D19" s="223">
        <f>SUM(D12:D18)</f>
        <v>21</v>
      </c>
      <c r="E19"/>
      <c r="F19" s="210"/>
      <c r="G19" s="210"/>
      <c r="I19" s="82"/>
      <c r="R19" s="82"/>
      <c r="AA19" s="82"/>
      <c r="AJ19" s="82"/>
    </row>
    <row r="20" spans="1:36" ht="15.6" x14ac:dyDescent="0.3">
      <c r="A20" s="224" t="s">
        <v>535</v>
      </c>
      <c r="B20" s="225">
        <v>6</v>
      </c>
      <c r="C20" s="218"/>
      <c r="D20" s="218"/>
      <c r="E20"/>
      <c r="F20" s="210"/>
      <c r="G20" s="210"/>
      <c r="I20" s="82"/>
      <c r="R20" s="82"/>
      <c r="AA20" s="82"/>
      <c r="AJ20" s="82"/>
    </row>
    <row r="21" spans="1:36" x14ac:dyDescent="0.3">
      <c r="A21" s="219" t="s">
        <v>67</v>
      </c>
      <c r="B21" s="219" t="s">
        <v>68</v>
      </c>
      <c r="C21" s="219"/>
      <c r="D21" s="221">
        <v>2</v>
      </c>
      <c r="E21"/>
      <c r="F21" s="210"/>
      <c r="G21" s="210"/>
      <c r="I21" s="82"/>
      <c r="R21" s="82"/>
      <c r="X21" s="20" t="s">
        <v>544</v>
      </c>
      <c r="AA21" s="82"/>
      <c r="AJ21" s="82"/>
    </row>
    <row r="22" spans="1:36" x14ac:dyDescent="0.3">
      <c r="A22" s="219" t="s">
        <v>243</v>
      </c>
      <c r="B22" s="219" t="s">
        <v>246</v>
      </c>
      <c r="C22" s="219"/>
      <c r="D22" s="221">
        <v>3</v>
      </c>
      <c r="E22"/>
      <c r="F22" s="210"/>
      <c r="G22" s="210"/>
      <c r="I22" s="82"/>
      <c r="R22" s="82"/>
      <c r="AA22" s="82"/>
      <c r="AJ22" s="82"/>
    </row>
    <row r="23" spans="1:36" x14ac:dyDescent="0.3">
      <c r="A23" s="219" t="s">
        <v>71</v>
      </c>
      <c r="B23" s="219" t="s">
        <v>72</v>
      </c>
      <c r="C23" s="219"/>
      <c r="D23" s="221">
        <v>3</v>
      </c>
      <c r="E23"/>
      <c r="F23" s="210"/>
      <c r="G23" s="210"/>
      <c r="I23" s="82"/>
      <c r="R23" s="82"/>
      <c r="AA23" s="82"/>
      <c r="AJ23" s="82"/>
    </row>
    <row r="24" spans="1:36" x14ac:dyDescent="0.3">
      <c r="A24" s="219" t="s">
        <v>73</v>
      </c>
      <c r="B24" s="219" t="s">
        <v>74</v>
      </c>
      <c r="C24" s="219"/>
      <c r="D24" s="221">
        <v>2</v>
      </c>
      <c r="E24"/>
      <c r="F24" s="210"/>
      <c r="G24" s="210"/>
      <c r="I24" s="82"/>
      <c r="R24" s="82"/>
      <c r="AA24" s="82"/>
      <c r="AJ24" s="82"/>
    </row>
    <row r="25" spans="1:36" x14ac:dyDescent="0.3">
      <c r="A25" s="219" t="s">
        <v>75</v>
      </c>
      <c r="B25" s="219" t="s">
        <v>76</v>
      </c>
      <c r="C25" s="219"/>
      <c r="D25" s="221">
        <v>3</v>
      </c>
      <c r="E25"/>
      <c r="F25" s="210"/>
      <c r="G25" s="210"/>
      <c r="I25" s="82"/>
      <c r="R25" s="82"/>
      <c r="AA25" s="82"/>
      <c r="AJ25" s="82"/>
    </row>
    <row r="26" spans="1:36" x14ac:dyDescent="0.3">
      <c r="A26" s="219" t="s">
        <v>77</v>
      </c>
      <c r="B26" s="219" t="s">
        <v>541</v>
      </c>
      <c r="C26" s="219"/>
      <c r="D26" s="221">
        <v>3</v>
      </c>
      <c r="E26"/>
    </row>
    <row r="27" spans="1:36" x14ac:dyDescent="0.3">
      <c r="A27" s="219" t="s">
        <v>78</v>
      </c>
      <c r="B27" s="219" t="s">
        <v>79</v>
      </c>
      <c r="C27" s="219"/>
      <c r="D27" s="221">
        <v>3</v>
      </c>
    </row>
    <row r="28" spans="1:36" x14ac:dyDescent="0.3">
      <c r="A28" s="219" t="s">
        <v>80</v>
      </c>
      <c r="B28" s="219" t="s">
        <v>81</v>
      </c>
      <c r="C28" s="219"/>
      <c r="D28" s="222">
        <v>4</v>
      </c>
    </row>
    <row r="29" spans="1:36" ht="15.6" x14ac:dyDescent="0.3">
      <c r="A29" s="271" t="s">
        <v>543</v>
      </c>
      <c r="B29" s="271"/>
      <c r="C29" s="271"/>
      <c r="D29" s="223">
        <f>SUM(D21:D28)</f>
        <v>23</v>
      </c>
      <c r="E29" s="77"/>
    </row>
    <row r="30" spans="1:36" x14ac:dyDescent="0.3">
      <c r="A30" s="210"/>
      <c r="B30" s="210"/>
      <c r="C30" s="210"/>
      <c r="E30" s="77"/>
    </row>
    <row r="31" spans="1:36" ht="15.6" x14ac:dyDescent="0.3">
      <c r="A31" s="269" t="s">
        <v>325</v>
      </c>
      <c r="B31" s="269"/>
      <c r="C31" s="269"/>
      <c r="D31" s="269"/>
      <c r="E31" s="269"/>
      <c r="F31" s="269"/>
      <c r="G31" s="269"/>
      <c r="H31" s="269"/>
      <c r="I31" s="216"/>
      <c r="J31" s="269" t="s">
        <v>325</v>
      </c>
      <c r="K31" s="269"/>
      <c r="L31" s="269"/>
      <c r="M31" s="269"/>
      <c r="N31" s="269"/>
      <c r="O31" s="269"/>
      <c r="P31" s="269"/>
      <c r="Q31" s="269"/>
      <c r="R31" s="216"/>
      <c r="S31" s="269" t="s">
        <v>325</v>
      </c>
      <c r="T31" s="269"/>
      <c r="U31" s="269"/>
      <c r="V31" s="269"/>
      <c r="W31" s="269"/>
      <c r="X31" s="269"/>
      <c r="Y31" s="269"/>
      <c r="Z31" s="269"/>
      <c r="AA31" s="216"/>
      <c r="AB31" s="269" t="s">
        <v>325</v>
      </c>
      <c r="AC31" s="269"/>
      <c r="AD31" s="269"/>
      <c r="AE31" s="269"/>
      <c r="AF31" s="269"/>
      <c r="AG31" s="269"/>
      <c r="AH31" s="269"/>
      <c r="AI31" s="269"/>
      <c r="AJ31" s="216"/>
    </row>
    <row r="32" spans="1:36" ht="15.6" x14ac:dyDescent="0.3">
      <c r="A32" s="207" t="s">
        <v>536</v>
      </c>
      <c r="B32" s="207" t="s">
        <v>537</v>
      </c>
      <c r="C32" s="207" t="s">
        <v>538</v>
      </c>
      <c r="D32" s="207" t="s">
        <v>540</v>
      </c>
      <c r="E32" s="209" t="s">
        <v>94</v>
      </c>
      <c r="F32" s="209" t="s">
        <v>535</v>
      </c>
      <c r="G32" s="209" t="s">
        <v>83</v>
      </c>
      <c r="H32" s="207" t="s">
        <v>539</v>
      </c>
      <c r="I32" s="216"/>
      <c r="J32" s="207" t="s">
        <v>536</v>
      </c>
      <c r="K32" s="207" t="s">
        <v>537</v>
      </c>
      <c r="L32" s="207" t="s">
        <v>538</v>
      </c>
      <c r="M32" s="207" t="s">
        <v>540</v>
      </c>
      <c r="N32" s="209" t="s">
        <v>94</v>
      </c>
      <c r="O32" s="209" t="s">
        <v>535</v>
      </c>
      <c r="P32" s="209" t="s">
        <v>83</v>
      </c>
      <c r="Q32" s="207" t="s">
        <v>539</v>
      </c>
      <c r="R32" s="216"/>
      <c r="S32" s="207" t="s">
        <v>536</v>
      </c>
      <c r="T32" s="207" t="s">
        <v>537</v>
      </c>
      <c r="U32" s="207" t="s">
        <v>538</v>
      </c>
      <c r="V32" s="207" t="s">
        <v>540</v>
      </c>
      <c r="W32" s="209" t="s">
        <v>94</v>
      </c>
      <c r="X32" s="209" t="s">
        <v>535</v>
      </c>
      <c r="Y32" s="209" t="s">
        <v>83</v>
      </c>
      <c r="Z32" s="207" t="s">
        <v>539</v>
      </c>
      <c r="AA32" s="216"/>
      <c r="AB32" s="207" t="s">
        <v>536</v>
      </c>
      <c r="AC32" s="207" t="s">
        <v>537</v>
      </c>
      <c r="AD32" s="207" t="s">
        <v>538</v>
      </c>
      <c r="AE32" s="207" t="s">
        <v>540</v>
      </c>
      <c r="AF32" s="209" t="s">
        <v>94</v>
      </c>
      <c r="AG32" s="209" t="s">
        <v>535</v>
      </c>
      <c r="AH32" s="209" t="s">
        <v>83</v>
      </c>
      <c r="AI32" s="207" t="s">
        <v>539</v>
      </c>
      <c r="AJ32" s="216"/>
    </row>
    <row r="33" spans="1:36" ht="45" customHeight="1" x14ac:dyDescent="0.3">
      <c r="A33" s="211" t="str">
        <f>IF(C33="","",VLOOKUP(C33,'PROGRAM JADWAL GENAP'!F$7:V$126,14,FALSE))</f>
        <v/>
      </c>
      <c r="B33" s="211" t="str">
        <f>IF(C33="","",VLOOKUP(C33,'PROGRAM JADWAL GENAP'!F$7:V$126,15,FALSE))</f>
        <v/>
      </c>
      <c r="C33" s="212"/>
      <c r="D33" s="212" t="str">
        <f>IF(C33="","",VLOOKUP(C33,'PROGRAM JADWAL GENAP'!F$7:V$126,4,FALSE))</f>
        <v/>
      </c>
      <c r="E33" s="213" t="str">
        <f>IF(C33="","",VLOOKUP(C33,'PROGRAM JADWAL GENAP'!F$7:V$126,8,FALSE))</f>
        <v/>
      </c>
      <c r="F33" s="213" t="str">
        <f>IF(C33="","",VLOOKUP(C33,'PROGRAM JADWAL GENAP'!F$7:V$126,9,FALSE))</f>
        <v/>
      </c>
      <c r="G33" s="213" t="str">
        <f>IF(I33=4,2,I33)</f>
        <v/>
      </c>
      <c r="H33" s="212" t="str">
        <f>IF(C33="","",VLOOKUP(C33,'PROGRAM JADWAL GENAP'!F$7:V$126,12,FALSE))</f>
        <v/>
      </c>
      <c r="I33" s="217" t="str">
        <f>IF(C33="","",VLOOKUP(C33,'PROGRAM JADWAL GENAP'!F$7:V$126,10,FALSE))</f>
        <v/>
      </c>
      <c r="J33" s="211" t="str">
        <f>IF(L33="","",VLOOKUP(L33,'PROGRAM JADWAL GENAP'!F$7:V$126,14,FALSE))</f>
        <v>MKU</v>
      </c>
      <c r="K33" s="211">
        <f>IF(L33="","",VLOOKUP(L33,'PROGRAM JADWAL GENAP'!F$7:V$126,15,FALSE))</f>
        <v>0</v>
      </c>
      <c r="L33" s="212" t="s">
        <v>527</v>
      </c>
      <c r="M33" s="212" t="str">
        <f>IF(L33="","",VLOOKUP(L33,'PROGRAM JADWAL GENAP'!F$7:V$126,4,FALSE))</f>
        <v>Bahasa Indonesia</v>
      </c>
      <c r="N33" s="213" t="str">
        <f>IF(L33="","",VLOOKUP(L33,'PROGRAM JADWAL GENAP'!F$7:V$126,8,FALSE))</f>
        <v>B</v>
      </c>
      <c r="O33" s="213">
        <f>IF(L33="","",VLOOKUP(L33,'PROGRAM JADWAL GENAP'!F$7:V$126,9,FALSE))</f>
        <v>2</v>
      </c>
      <c r="P33" s="213">
        <f>IF(R33=4,2,R33)</f>
        <v>2</v>
      </c>
      <c r="Q33" s="212" t="str">
        <f>IF(L33="","",VLOOKUP(L33,'PROGRAM JADWAL GENAP'!F$7:V$126,12,FALSE))</f>
        <v>MKU</v>
      </c>
      <c r="R33" s="217">
        <f>IF(L33="","",VLOOKUP(L33,'PROGRAM JADWAL GENAP'!F$7:V$126,10,FALSE))</f>
        <v>2</v>
      </c>
      <c r="S33" s="211" t="str">
        <f>IF(U33="","",VLOOKUP(U33,'PROGRAM JADWAL GENAP'!F$7:V$126,14,FALSE))</f>
        <v/>
      </c>
      <c r="T33" s="211" t="str">
        <f>IF(U33="","",VLOOKUP(U33,'PROGRAM JADWAL GENAP'!F$7:V$126,15,FALSE))</f>
        <v/>
      </c>
      <c r="U33" s="212"/>
      <c r="V33" s="212" t="str">
        <f>IF(U33="","",VLOOKUP(U33,'PROGRAM JADWAL GENAP'!F$7:V$126,4,FALSE))</f>
        <v/>
      </c>
      <c r="W33" s="213" t="str">
        <f>IF(U33="","",VLOOKUP(U33,'PROGRAM JADWAL GENAP'!F$7:V$126,8,FALSE))</f>
        <v/>
      </c>
      <c r="X33" s="213" t="str">
        <f>IF(U33="","",VLOOKUP(U33,'PROGRAM JADWAL GENAP'!F$7:V$126,9,FALSE))</f>
        <v/>
      </c>
      <c r="Y33" s="213" t="str">
        <f>IF(AA33=4,2,AA33)</f>
        <v/>
      </c>
      <c r="Z33" s="212" t="str">
        <f>IF(U33="","",VLOOKUP(U33,'PROGRAM JADWAL GENAP'!F$7:V$126,12,FALSE))</f>
        <v/>
      </c>
      <c r="AA33" s="217" t="str">
        <f>IF(U33="","",VLOOKUP(U33,'PROGRAM JADWAL GENAP'!F$7:V$126,10,FALSE))</f>
        <v/>
      </c>
      <c r="AB33" s="211" t="str">
        <f>IF(AD33="","",VLOOKUP(AD33,'PROGRAM JADWAL GENAP'!F$7:V$126,14,FALSE))</f>
        <v/>
      </c>
      <c r="AC33" s="211" t="str">
        <f>IF(AD33="","",VLOOKUP(AD33,'PROGRAM JADWAL GENAP'!F$7:V$126,15,FALSE))</f>
        <v/>
      </c>
      <c r="AD33" s="212"/>
      <c r="AE33" s="212" t="str">
        <f>IF(AD33="","",VLOOKUP(AD33,'PROGRAM JADWAL GENAP'!F$7:V$126,4,FALSE))</f>
        <v/>
      </c>
      <c r="AF33" s="213" t="str">
        <f>IF(AD33="","",VLOOKUP(AD33,'PROGRAM JADWAL GENAP'!F$7:V$126,8,FALSE))</f>
        <v/>
      </c>
      <c r="AG33" s="213" t="str">
        <f>IF(AD33="","",VLOOKUP(AD33,'PROGRAM JADWAL GENAP'!F$7:V$126,9,FALSE))</f>
        <v/>
      </c>
      <c r="AH33" s="213" t="str">
        <f>IF(AJ33=4,2,AJ33)</f>
        <v/>
      </c>
      <c r="AI33" s="212" t="str">
        <f>IF(AD33="","",VLOOKUP(AD33,'PROGRAM JADWAL GENAP'!F$7:V$126,12,FALSE))</f>
        <v/>
      </c>
      <c r="AJ33" s="217" t="str">
        <f>IF(AD33="","",VLOOKUP(AD33,'PROGRAM JADWAL GENAP'!F$7:V$126,10,FALSE))</f>
        <v/>
      </c>
    </row>
    <row r="34" spans="1:36" ht="45" customHeight="1" x14ac:dyDescent="0.3">
      <c r="A34" s="211" t="str">
        <f>IF(C34="","",VLOOKUP(C34,'PROGRAM JADWAL GENAP'!F$7:V$126,14,FALSE))</f>
        <v>Anggi Perwitasari, S.T., M.T. / Desepta Isna Ulumi, S.Kom, M.Kom.</v>
      </c>
      <c r="B34" s="211">
        <f>IF(C34="","",VLOOKUP(C34,'PROGRAM JADWAL GENAP'!F$7:V$126,15,FALSE))</f>
        <v>0</v>
      </c>
      <c r="C34" s="212" t="s">
        <v>510</v>
      </c>
      <c r="D34" s="212" t="str">
        <f>IF(C34="","",VLOOKUP(C34,'PROGRAM JADWAL GENAP'!F$7:V$126,4,FALSE))</f>
        <v>Dasar rekayasa perangkat lunak</v>
      </c>
      <c r="E34" s="213" t="str">
        <f>IF(C34="","",VLOOKUP(C34,'PROGRAM JADWAL GENAP'!F$7:V$126,8,FALSE))</f>
        <v>D</v>
      </c>
      <c r="F34" s="213">
        <f>IF(C34="","",VLOOKUP(C34,'PROGRAM JADWAL GENAP'!F$7:V$126,9,FALSE))</f>
        <v>2</v>
      </c>
      <c r="G34" s="213">
        <f t="shared" ref="G34:G36" si="0">IF(I34=4,2,I34)</f>
        <v>3</v>
      </c>
      <c r="H34" s="212" t="str">
        <f>IF(C34="","",VLOOKUP(C34,'PROGRAM JADWAL GENAP'!F$7:V$126,12,FALSE))</f>
        <v>Anggi Perwitasari, S.T., M.T.</v>
      </c>
      <c r="I34" s="217">
        <f>IF(C34="","",VLOOKUP(C34,'PROGRAM JADWAL GENAP'!F$7:V$126,10,FALSE))</f>
        <v>3</v>
      </c>
      <c r="J34" s="211" t="e">
        <f>IF(L34="","",VLOOKUP(L34,'PROGRAM JADWAL GENAP'!F$7:V$126,14,FALSE))</f>
        <v>#N/A</v>
      </c>
      <c r="K34" s="211" t="e">
        <f>IF(L34="","",VLOOKUP(L34,'PROGRAM JADWAL GENAP'!F$7:V$126,15,FALSE))</f>
        <v>#N/A</v>
      </c>
      <c r="L34" s="212" t="s">
        <v>507</v>
      </c>
      <c r="M34" s="212" t="e">
        <f>IF(L34="","",VLOOKUP(L34,'PROGRAM JADWAL GENAP'!F$7:V$126,4,FALSE))</f>
        <v>#N/A</v>
      </c>
      <c r="N34" s="213" t="e">
        <f>IF(L34="","",VLOOKUP(L34,'PROGRAM JADWAL GENAP'!F$7:V$126,8,FALSE))</f>
        <v>#N/A</v>
      </c>
      <c r="O34" s="213" t="e">
        <f>IF(L34="","",VLOOKUP(L34,'PROGRAM JADWAL GENAP'!F$7:V$126,9,FALSE))</f>
        <v>#N/A</v>
      </c>
      <c r="P34" s="213" t="e">
        <f t="shared" ref="P34:P36" si="1">IF(R34=4,2,R34)</f>
        <v>#N/A</v>
      </c>
      <c r="Q34" s="212" t="e">
        <f>IF(L34="","",VLOOKUP(L34,'PROGRAM JADWAL GENAP'!F$7:V$126,12,FALSE))</f>
        <v>#N/A</v>
      </c>
      <c r="R34" s="217" t="e">
        <f>IF(L34="","",VLOOKUP(L34,'PROGRAM JADWAL GENAP'!F$7:V$126,10,FALSE))</f>
        <v>#N/A</v>
      </c>
      <c r="S34" s="211" t="str">
        <f>IF(U34="","",VLOOKUP(U34,'PROGRAM JADWAL GENAP'!F$7:V$126,14,FALSE))</f>
        <v/>
      </c>
      <c r="T34" s="211" t="str">
        <f>IF(U34="","",VLOOKUP(U34,'PROGRAM JADWAL GENAP'!F$7:V$126,15,FALSE))</f>
        <v/>
      </c>
      <c r="U34" s="212"/>
      <c r="V34" s="212" t="str">
        <f>IF(U34="","",VLOOKUP(U34,'PROGRAM JADWAL GENAP'!F$7:V$126,4,FALSE))</f>
        <v/>
      </c>
      <c r="W34" s="213" t="str">
        <f>IF(U34="","",VLOOKUP(U34,'PROGRAM JADWAL GENAP'!F$7:V$126,8,FALSE))</f>
        <v/>
      </c>
      <c r="X34" s="213" t="str">
        <f>IF(U34="","",VLOOKUP(U34,'PROGRAM JADWAL GENAP'!F$7:V$126,9,FALSE))</f>
        <v/>
      </c>
      <c r="Y34" s="213" t="str">
        <f t="shared" ref="Y34:Y36" si="2">IF(AA34=4,2,AA34)</f>
        <v/>
      </c>
      <c r="Z34" s="212" t="str">
        <f>IF(U34="","",VLOOKUP(U34,'PROGRAM JADWAL GENAP'!F$7:V$126,12,FALSE))</f>
        <v/>
      </c>
      <c r="AA34" s="217" t="str">
        <f>IF(U34="","",VLOOKUP(U34,'PROGRAM JADWAL GENAP'!F$7:V$126,10,FALSE))</f>
        <v/>
      </c>
      <c r="AB34" s="211" t="str">
        <f>IF(AD34="","",VLOOKUP(AD34,'PROGRAM JADWAL GENAP'!F$7:V$126,14,FALSE))</f>
        <v/>
      </c>
      <c r="AC34" s="211" t="str">
        <f>IF(AD34="","",VLOOKUP(AD34,'PROGRAM JADWAL GENAP'!F$7:V$126,15,FALSE))</f>
        <v/>
      </c>
      <c r="AD34" s="212"/>
      <c r="AE34" s="212" t="str">
        <f>IF(AD34="","",VLOOKUP(AD34,'PROGRAM JADWAL GENAP'!F$7:V$126,4,FALSE))</f>
        <v/>
      </c>
      <c r="AF34" s="213" t="str">
        <f>IF(AD34="","",VLOOKUP(AD34,'PROGRAM JADWAL GENAP'!F$7:V$126,8,FALSE))</f>
        <v/>
      </c>
      <c r="AG34" s="213" t="str">
        <f>IF(AD34="","",VLOOKUP(AD34,'PROGRAM JADWAL GENAP'!F$7:V$126,9,FALSE))</f>
        <v/>
      </c>
      <c r="AH34" s="213" t="str">
        <f t="shared" ref="AH34:AH36" si="3">IF(AJ34=4,2,AJ34)</f>
        <v/>
      </c>
      <c r="AI34" s="212" t="str">
        <f>IF(AD34="","",VLOOKUP(AD34,'PROGRAM JADWAL GENAP'!F$7:V$126,12,FALSE))</f>
        <v/>
      </c>
      <c r="AJ34" s="217" t="str">
        <f>IF(AD34="","",VLOOKUP(AD34,'PROGRAM JADWAL GENAP'!F$7:V$126,10,FALSE))</f>
        <v/>
      </c>
    </row>
    <row r="35" spans="1:36" ht="45" customHeight="1" x14ac:dyDescent="0.3">
      <c r="A35" s="211" t="e">
        <f>IF(C35="","",VLOOKUP(C35,'PROGRAM JADWAL GENAP'!F$7:V$126,14,FALSE))</f>
        <v>#N/A</v>
      </c>
      <c r="B35" s="211" t="e">
        <f>IF(C35="","",VLOOKUP(C35,'PROGRAM JADWAL GENAP'!F$7:V$126,15,FALSE))</f>
        <v>#N/A</v>
      </c>
      <c r="C35" s="212" t="s">
        <v>533</v>
      </c>
      <c r="D35" s="212" t="e">
        <f>IF(C35="","",VLOOKUP(C35,'PROGRAM JADWAL GENAP'!F$7:V$126,4,FALSE))</f>
        <v>#N/A</v>
      </c>
      <c r="E35" s="213" t="e">
        <f>IF(C35="","",VLOOKUP(C35,'PROGRAM JADWAL GENAP'!F$7:V$126,8,FALSE))</f>
        <v>#N/A</v>
      </c>
      <c r="F35" s="213" t="e">
        <f>IF(C35="","",VLOOKUP(C35,'PROGRAM JADWAL GENAP'!F$7:V$126,9,FALSE))</f>
        <v>#N/A</v>
      </c>
      <c r="G35" s="213" t="e">
        <f t="shared" si="0"/>
        <v>#N/A</v>
      </c>
      <c r="H35" s="212" t="e">
        <f>IF(C35="","",VLOOKUP(C35,'PROGRAM JADWAL GENAP'!F$7:V$126,12,FALSE))</f>
        <v>#N/A</v>
      </c>
      <c r="I35" s="217" t="e">
        <f>IF(C35="","",VLOOKUP(C35,'PROGRAM JADWAL GENAP'!F$7:V$126,10,FALSE))</f>
        <v>#N/A</v>
      </c>
      <c r="J35" s="211" t="str">
        <f>IF(L35="","",VLOOKUP(L35,'PROGRAM JADWAL GENAP'!F$7:V$126,14,FALSE))</f>
        <v/>
      </c>
      <c r="K35" s="211" t="str">
        <f>IF(L35="","",VLOOKUP(L35,'PROGRAM JADWAL GENAP'!F$7:V$126,15,FALSE))</f>
        <v/>
      </c>
      <c r="L35" s="212"/>
      <c r="M35" s="212" t="str">
        <f>IF(L35="","",VLOOKUP(L35,'PROGRAM JADWAL GENAP'!F$7:V$126,4,FALSE))</f>
        <v/>
      </c>
      <c r="N35" s="213" t="str">
        <f>IF(L35="","",VLOOKUP(L35,'PROGRAM JADWAL GENAP'!F$7:V$126,8,FALSE))</f>
        <v/>
      </c>
      <c r="O35" s="213" t="str">
        <f>IF(L35="","",VLOOKUP(L35,'PROGRAM JADWAL GENAP'!F$7:V$126,9,FALSE))</f>
        <v/>
      </c>
      <c r="P35" s="213" t="str">
        <f t="shared" si="1"/>
        <v/>
      </c>
      <c r="Q35" s="212" t="str">
        <f>IF(L35="","",VLOOKUP(L35,'PROGRAM JADWAL GENAP'!F$7:V$126,12,FALSE))</f>
        <v/>
      </c>
      <c r="R35" s="217" t="str">
        <f>IF(L35="","",VLOOKUP(L35,'PROGRAM JADWAL GENAP'!F$7:V$126,10,FALSE))</f>
        <v/>
      </c>
      <c r="S35" s="211" t="str">
        <f>IF(U35="","",VLOOKUP(U35,'PROGRAM JADWAL GENAP'!F$7:V$126,14,FALSE))</f>
        <v/>
      </c>
      <c r="T35" s="211" t="str">
        <f>IF(U35="","",VLOOKUP(U35,'PROGRAM JADWAL GENAP'!F$7:V$126,15,FALSE))</f>
        <v/>
      </c>
      <c r="U35" s="212"/>
      <c r="V35" s="212" t="str">
        <f>IF(U35="","",VLOOKUP(U35,'PROGRAM JADWAL GENAP'!F$7:V$126,4,FALSE))</f>
        <v/>
      </c>
      <c r="W35" s="213" t="str">
        <f>IF(U35="","",VLOOKUP(U35,'PROGRAM JADWAL GENAP'!F$7:V$126,8,FALSE))</f>
        <v/>
      </c>
      <c r="X35" s="213" t="str">
        <f>IF(U35="","",VLOOKUP(U35,'PROGRAM JADWAL GENAP'!F$7:V$126,9,FALSE))</f>
        <v/>
      </c>
      <c r="Y35" s="213" t="str">
        <f t="shared" si="2"/>
        <v/>
      </c>
      <c r="Z35" s="212" t="str">
        <f>IF(U35="","",VLOOKUP(U35,'PROGRAM JADWAL GENAP'!F$7:V$126,12,FALSE))</f>
        <v/>
      </c>
      <c r="AA35" s="217" t="str">
        <f>IF(U35="","",VLOOKUP(U35,'PROGRAM JADWAL GENAP'!F$7:V$126,10,FALSE))</f>
        <v/>
      </c>
      <c r="AB35" s="211" t="str">
        <f>IF(AD35="","",VLOOKUP(AD35,'PROGRAM JADWAL GENAP'!F$7:V$126,14,FALSE))</f>
        <v/>
      </c>
      <c r="AC35" s="211" t="str">
        <f>IF(AD35="","",VLOOKUP(AD35,'PROGRAM JADWAL GENAP'!F$7:V$126,15,FALSE))</f>
        <v/>
      </c>
      <c r="AD35" s="212"/>
      <c r="AE35" s="212" t="str">
        <f>IF(AD35="","",VLOOKUP(AD35,'PROGRAM JADWAL GENAP'!F$7:V$126,4,FALSE))</f>
        <v/>
      </c>
      <c r="AF35" s="213" t="str">
        <f>IF(AD35="","",VLOOKUP(AD35,'PROGRAM JADWAL GENAP'!F$7:V$126,8,FALSE))</f>
        <v/>
      </c>
      <c r="AG35" s="213" t="str">
        <f>IF(AD35="","",VLOOKUP(AD35,'PROGRAM JADWAL GENAP'!F$7:V$126,9,FALSE))</f>
        <v/>
      </c>
      <c r="AH35" s="213" t="str">
        <f t="shared" si="3"/>
        <v/>
      </c>
      <c r="AI35" s="212" t="str">
        <f>IF(AD35="","",VLOOKUP(AD35,'PROGRAM JADWAL GENAP'!F$7:V$126,12,FALSE))</f>
        <v/>
      </c>
      <c r="AJ35" s="217" t="str">
        <f>IF(AD35="","",VLOOKUP(AD35,'PROGRAM JADWAL GENAP'!F$7:V$126,10,FALSE))</f>
        <v/>
      </c>
    </row>
    <row r="36" spans="1:36" ht="45" customHeight="1" x14ac:dyDescent="0.3">
      <c r="A36" s="214" t="str">
        <f>IF(C36="","",VLOOKUP(C36,'PROGRAM JADWAL GENAP'!F$7:V$126,14,FALSE))</f>
        <v>Morteza Muthahhari, S.Kom., M.T.I / Fauzan Asrin, S.Kom, M. Kom.</v>
      </c>
      <c r="B36" s="214">
        <f>IF(C36="","",VLOOKUP(C36,'PROGRAM JADWAL GENAP'!F$7:V$126,15,FALSE))</f>
        <v>0</v>
      </c>
      <c r="C36" s="212" t="s">
        <v>529</v>
      </c>
      <c r="D36" s="212" t="str">
        <f>IF(C36="","",VLOOKUP(C36,'PROGRAM JADWAL GENAP'!F$7:V$126,4,FALSE))</f>
        <v>Struktur  Data  dan Algoritma*</v>
      </c>
      <c r="E36" s="213" t="str">
        <f>IF(C36="","",VLOOKUP(C36,'PROGRAM JADWAL GENAP'!F$7:V$126,8,FALSE))</f>
        <v>B</v>
      </c>
      <c r="F36" s="213">
        <f>IF(C36="","",VLOOKUP(C36,'PROGRAM JADWAL GENAP'!F$7:V$126,9,FALSE))</f>
        <v>2</v>
      </c>
      <c r="G36" s="213">
        <f t="shared" si="0"/>
        <v>2</v>
      </c>
      <c r="H36" s="212" t="str">
        <f>IF(C36="","",VLOOKUP(C36,'PROGRAM JADWAL GENAP'!F$7:V$126,12,FALSE))</f>
        <v>Morteza Muthahhari, S.Kom., M.T.I</v>
      </c>
      <c r="I36" s="217">
        <f>IF(C36="","",VLOOKUP(C36,'PROGRAM JADWAL GENAP'!F$7:V$126,10,FALSE))</f>
        <v>4</v>
      </c>
      <c r="J36" s="211" t="str">
        <f>IF(L36="","",VLOOKUP(L36,'PROGRAM JADWAL GENAP'!F$7:V$126,14,FALSE))</f>
        <v/>
      </c>
      <c r="K36" s="211" t="str">
        <f>IF(L36="","",VLOOKUP(L36,'PROGRAM JADWAL GENAP'!F$7:V$126,15,FALSE))</f>
        <v/>
      </c>
      <c r="L36" s="212"/>
      <c r="M36" s="212" t="str">
        <f>IF(L36="","",VLOOKUP(L36,'PROGRAM JADWAL GENAP'!F$7:V$126,4,FALSE))</f>
        <v/>
      </c>
      <c r="N36" s="213" t="str">
        <f>IF(L36="","",VLOOKUP(L36,'PROGRAM JADWAL GENAP'!F$7:V$126,8,FALSE))</f>
        <v/>
      </c>
      <c r="O36" s="213" t="str">
        <f>IF(L36="","",VLOOKUP(L36,'PROGRAM JADWAL GENAP'!F$7:V$126,9,FALSE))</f>
        <v/>
      </c>
      <c r="P36" s="213" t="str">
        <f t="shared" si="1"/>
        <v/>
      </c>
      <c r="Q36" s="212" t="str">
        <f>IF(L36="","",VLOOKUP(L36,'PROGRAM JADWAL GENAP'!F$7:V$126,12,FALSE))</f>
        <v/>
      </c>
      <c r="R36" s="217" t="str">
        <f>IF(L36="","",VLOOKUP(L36,'PROGRAM JADWAL GENAP'!F$7:V$126,10,FALSE))</f>
        <v/>
      </c>
      <c r="S36" s="211" t="str">
        <f>IF(U36="","",VLOOKUP(U36,'PROGRAM JADWAL GENAP'!F$7:V$126,14,FALSE))</f>
        <v/>
      </c>
      <c r="T36" s="211" t="str">
        <f>IF(U36="","",VLOOKUP(U36,'PROGRAM JADWAL GENAP'!F$7:V$126,15,FALSE))</f>
        <v/>
      </c>
      <c r="U36" s="212"/>
      <c r="V36" s="212" t="str">
        <f>IF(U36="","",VLOOKUP(U36,'PROGRAM JADWAL GENAP'!F$7:V$126,4,FALSE))</f>
        <v/>
      </c>
      <c r="W36" s="213" t="str">
        <f>IF(U36="","",VLOOKUP(U36,'PROGRAM JADWAL GENAP'!F$7:V$126,8,FALSE))</f>
        <v/>
      </c>
      <c r="X36" s="213" t="str">
        <f>IF(U36="","",VLOOKUP(U36,'PROGRAM JADWAL GENAP'!F$7:V$126,9,FALSE))</f>
        <v/>
      </c>
      <c r="Y36" s="213" t="str">
        <f t="shared" si="2"/>
        <v/>
      </c>
      <c r="Z36" s="212" t="str">
        <f>IF(U36="","",VLOOKUP(U36,'PROGRAM JADWAL GENAP'!F$7:V$126,12,FALSE))</f>
        <v/>
      </c>
      <c r="AA36" s="217" t="str">
        <f>IF(U36="","",VLOOKUP(U36,'PROGRAM JADWAL GENAP'!F$7:V$126,10,FALSE))</f>
        <v/>
      </c>
      <c r="AB36" s="211" t="str">
        <f>IF(AD36="","",VLOOKUP(AD36,'PROGRAM JADWAL GENAP'!F$7:V$126,14,FALSE))</f>
        <v/>
      </c>
      <c r="AC36" s="211" t="str">
        <f>IF(AD36="","",VLOOKUP(AD36,'PROGRAM JADWAL GENAP'!F$7:V$126,15,FALSE))</f>
        <v/>
      </c>
      <c r="AD36" s="212"/>
      <c r="AE36" s="212" t="str">
        <f>IF(AD36="","",VLOOKUP(AD36,'PROGRAM JADWAL GENAP'!F$7:V$126,4,FALSE))</f>
        <v/>
      </c>
      <c r="AF36" s="213" t="str">
        <f>IF(AD36="","",VLOOKUP(AD36,'PROGRAM JADWAL GENAP'!F$7:V$126,8,FALSE))</f>
        <v/>
      </c>
      <c r="AG36" s="213" t="str">
        <f>IF(AD36="","",VLOOKUP(AD36,'PROGRAM JADWAL GENAP'!F$7:V$126,9,FALSE))</f>
        <v/>
      </c>
      <c r="AH36" s="213" t="str">
        <f t="shared" si="3"/>
        <v/>
      </c>
      <c r="AI36" s="212" t="str">
        <f>IF(AD36="","",VLOOKUP(AD36,'PROGRAM JADWAL GENAP'!F$7:V$126,12,FALSE))</f>
        <v/>
      </c>
      <c r="AJ36" s="217" t="str">
        <f>IF(AD36="","",VLOOKUP(AD36,'PROGRAM JADWAL GENAP'!F$7:V$126,10,FALSE))</f>
        <v/>
      </c>
    </row>
    <row r="37" spans="1:36" ht="15.6" x14ac:dyDescent="0.3">
      <c r="A37" s="269" t="s">
        <v>326</v>
      </c>
      <c r="B37" s="269"/>
      <c r="C37" s="269"/>
      <c r="D37" s="269"/>
      <c r="E37" s="269"/>
      <c r="F37" s="269"/>
      <c r="G37" s="269"/>
      <c r="H37" s="269"/>
      <c r="J37" s="269" t="s">
        <v>326</v>
      </c>
      <c r="K37" s="269"/>
      <c r="L37" s="269"/>
      <c r="M37" s="269"/>
      <c r="N37" s="269"/>
      <c r="O37" s="269"/>
      <c r="P37" s="269"/>
      <c r="Q37" s="269"/>
      <c r="R37" s="217" t="str">
        <f>IF(L37="","",VLOOKUP(L37,'PROGRAM JADWAL GENAP'!F$7:V$126,10,FALSE))</f>
        <v/>
      </c>
      <c r="S37" s="269" t="s">
        <v>326</v>
      </c>
      <c r="T37" s="269"/>
      <c r="U37" s="269"/>
      <c r="V37" s="269"/>
      <c r="W37" s="269"/>
      <c r="X37" s="269"/>
      <c r="Y37" s="269"/>
      <c r="Z37" s="269"/>
      <c r="AA37" s="217" t="str">
        <f>IF(U37="","",VLOOKUP(U37,'PROGRAM JADWAL GENAP'!F$7:V$126,10,FALSE))</f>
        <v/>
      </c>
      <c r="AB37" s="269" t="s">
        <v>326</v>
      </c>
      <c r="AC37" s="269"/>
      <c r="AD37" s="269"/>
      <c r="AE37" s="269"/>
      <c r="AF37" s="269"/>
      <c r="AG37" s="269"/>
      <c r="AH37" s="269"/>
      <c r="AI37" s="269"/>
      <c r="AJ37" s="217" t="str">
        <f>IF(AD37="","",VLOOKUP(AD37,'PROGRAM JADWAL GENAP'!F$7:V$126,10,FALSE))</f>
        <v/>
      </c>
    </row>
    <row r="38" spans="1:36" ht="15.6" x14ac:dyDescent="0.3">
      <c r="A38" s="207" t="s">
        <v>536</v>
      </c>
      <c r="B38" s="207" t="s">
        <v>537</v>
      </c>
      <c r="C38" s="207" t="s">
        <v>538</v>
      </c>
      <c r="D38" s="207" t="s">
        <v>540</v>
      </c>
      <c r="E38" s="209" t="s">
        <v>150</v>
      </c>
      <c r="F38" s="209" t="s">
        <v>175</v>
      </c>
      <c r="G38" s="209" t="s">
        <v>83</v>
      </c>
      <c r="H38" s="207" t="s">
        <v>539</v>
      </c>
      <c r="J38" s="207" t="s">
        <v>536</v>
      </c>
      <c r="K38" s="207" t="s">
        <v>537</v>
      </c>
      <c r="L38" s="207" t="s">
        <v>538</v>
      </c>
      <c r="M38" s="207" t="s">
        <v>540</v>
      </c>
      <c r="N38" s="209" t="s">
        <v>150</v>
      </c>
      <c r="O38" s="209" t="s">
        <v>175</v>
      </c>
      <c r="P38" s="209" t="s">
        <v>83</v>
      </c>
      <c r="Q38" s="207" t="s">
        <v>539</v>
      </c>
      <c r="R38" s="217" t="e">
        <f>IF(L38="","",VLOOKUP(L38,'PROGRAM JADWAL GENAP'!F$7:V$126,10,FALSE))</f>
        <v>#N/A</v>
      </c>
      <c r="S38" s="207" t="s">
        <v>536</v>
      </c>
      <c r="T38" s="207" t="s">
        <v>537</v>
      </c>
      <c r="U38" s="207" t="s">
        <v>538</v>
      </c>
      <c r="V38" s="207" t="s">
        <v>540</v>
      </c>
      <c r="W38" s="209" t="s">
        <v>150</v>
      </c>
      <c r="X38" s="209" t="s">
        <v>175</v>
      </c>
      <c r="Y38" s="209" t="s">
        <v>83</v>
      </c>
      <c r="Z38" s="207" t="s">
        <v>539</v>
      </c>
      <c r="AA38" s="217" t="e">
        <f>IF(U38="","",VLOOKUP(U38,'PROGRAM JADWAL GENAP'!F$7:V$126,10,FALSE))</f>
        <v>#N/A</v>
      </c>
      <c r="AB38" s="207" t="s">
        <v>536</v>
      </c>
      <c r="AC38" s="207" t="s">
        <v>537</v>
      </c>
      <c r="AD38" s="207" t="s">
        <v>538</v>
      </c>
      <c r="AE38" s="207" t="s">
        <v>540</v>
      </c>
      <c r="AF38" s="209" t="s">
        <v>150</v>
      </c>
      <c r="AG38" s="209" t="s">
        <v>175</v>
      </c>
      <c r="AH38" s="209" t="s">
        <v>83</v>
      </c>
      <c r="AI38" s="207" t="s">
        <v>539</v>
      </c>
      <c r="AJ38" s="217" t="e">
        <f>IF(AD38="","",VLOOKUP(AD38,'PROGRAM JADWAL GENAP'!F$7:V$126,10,FALSE))</f>
        <v>#N/A</v>
      </c>
    </row>
    <row r="39" spans="1:36" ht="45" customHeight="1" x14ac:dyDescent="0.3">
      <c r="A39" s="211" t="str">
        <f>IF(C39="","",VLOOKUP(C39,'PROGRAM JADWAL GENAP'!F$7:V$126,14,FALSE))</f>
        <v/>
      </c>
      <c r="B39" s="211" t="str">
        <f>IF(C39="","",VLOOKUP(C39,'PROGRAM JADWAL GENAP'!F$7:V$126,15,FALSE))</f>
        <v/>
      </c>
      <c r="C39" s="212"/>
      <c r="D39" s="212" t="str">
        <f>IF(C39="","",VLOOKUP(C39,'PROGRAM JADWAL GENAP'!F$7:V$126,4,FALSE))</f>
        <v/>
      </c>
      <c r="E39" s="213" t="str">
        <f>IF(C39="","",VLOOKUP(C39,'PROGRAM JADWAL GENAP'!F$7:V$126,8,FALSE))</f>
        <v/>
      </c>
      <c r="F39" s="213" t="str">
        <f>IF(C39="","",VLOOKUP(C39,'PROGRAM JADWAL GENAP'!F$7:V$126,9,FALSE))</f>
        <v/>
      </c>
      <c r="G39" s="213" t="str">
        <f>IF(I39=4,2,I39)</f>
        <v/>
      </c>
      <c r="H39" s="212" t="str">
        <f>IF(C39="","",VLOOKUP(C39,'PROGRAM JADWAL GENAP'!F$7:V$126,12,FALSE))</f>
        <v/>
      </c>
      <c r="I39" s="217" t="str">
        <f>IF(C39="","",VLOOKUP(C39,'PROGRAM JADWAL GENAP'!F$7:V$126,10,FALSE))</f>
        <v/>
      </c>
      <c r="J39" s="211" t="e">
        <f>IF(L39="","",VLOOKUP(L39,'PROGRAM JADWAL GENAP'!F$7:V$126,14,FALSE))</f>
        <v>#N/A</v>
      </c>
      <c r="K39" s="211" t="e">
        <f>IF(L39="","",VLOOKUP(L39,'PROGRAM JADWAL GENAP'!F$7:V$126,15,FALSE))</f>
        <v>#N/A</v>
      </c>
      <c r="L39" s="212" t="s">
        <v>515</v>
      </c>
      <c r="M39" s="212" t="e">
        <f>IF(L39="","",VLOOKUP(L39,'PROGRAM JADWAL GENAP'!F$7:V$126,4,FALSE))</f>
        <v>#N/A</v>
      </c>
      <c r="N39" s="213" t="e">
        <f>IF(L39="","",VLOOKUP(L39,'PROGRAM JADWAL GENAP'!F$7:V$126,8,FALSE))</f>
        <v>#N/A</v>
      </c>
      <c r="O39" s="213" t="e">
        <f>IF(L39="","",VLOOKUP(L39,'PROGRAM JADWAL GENAP'!F$7:V$126,9,FALSE))</f>
        <v>#N/A</v>
      </c>
      <c r="P39" s="213" t="e">
        <f>IF(R39=4,2,R39)</f>
        <v>#N/A</v>
      </c>
      <c r="Q39" s="212" t="e">
        <f>IF(L39="","",VLOOKUP(L39,'PROGRAM JADWAL GENAP'!F$7:V$126,12,FALSE))</f>
        <v>#N/A</v>
      </c>
      <c r="R39" s="217" t="e">
        <f>IF(L39="","",VLOOKUP(L39,'PROGRAM JADWAL GENAP'!F$7:V$126,10,FALSE))</f>
        <v>#N/A</v>
      </c>
      <c r="S39" s="211" t="str">
        <f>IF(U39="","",VLOOKUP(U39,'PROGRAM JADWAL GENAP'!F$7:V$126,14,FALSE))</f>
        <v/>
      </c>
      <c r="T39" s="211" t="str">
        <f>IF(U39="","",VLOOKUP(U39,'PROGRAM JADWAL GENAP'!F$7:V$126,15,FALSE))</f>
        <v/>
      </c>
      <c r="U39" s="212"/>
      <c r="V39" s="212" t="str">
        <f>IF(U39="","",VLOOKUP(U39,'PROGRAM JADWAL GENAP'!F$7:V$126,4,FALSE))</f>
        <v/>
      </c>
      <c r="W39" s="213" t="str">
        <f>IF(U39="","",VLOOKUP(U39,'PROGRAM JADWAL GENAP'!F$7:V$126,8,FALSE))</f>
        <v/>
      </c>
      <c r="X39" s="213" t="str">
        <f>IF(U39="","",VLOOKUP(U39,'PROGRAM JADWAL GENAP'!F$7:V$126,9,FALSE))</f>
        <v/>
      </c>
      <c r="Y39" s="213" t="str">
        <f>IF(AA39=4,2,AA39)</f>
        <v/>
      </c>
      <c r="Z39" s="212" t="str">
        <f>IF(U39="","",VLOOKUP(U39,'PROGRAM JADWAL GENAP'!F$7:V$126,12,FALSE))</f>
        <v/>
      </c>
      <c r="AA39" s="217" t="str">
        <f>IF(U39="","",VLOOKUP(U39,'PROGRAM JADWAL GENAP'!F$7:V$126,10,FALSE))</f>
        <v/>
      </c>
      <c r="AB39" s="211" t="str">
        <f>IF(AD39="","",VLOOKUP(AD39,'PROGRAM JADWAL GENAP'!F$7:V$126,14,FALSE))</f>
        <v/>
      </c>
      <c r="AC39" s="211" t="str">
        <f>IF(AD39="","",VLOOKUP(AD39,'PROGRAM JADWAL GENAP'!F$7:V$126,15,FALSE))</f>
        <v/>
      </c>
      <c r="AD39" s="212"/>
      <c r="AE39" s="212" t="str">
        <f>IF(AD39="","",VLOOKUP(AD39,'PROGRAM JADWAL GENAP'!F$7:V$126,4,FALSE))</f>
        <v/>
      </c>
      <c r="AF39" s="213" t="str">
        <f>IF(AD39="","",VLOOKUP(AD39,'PROGRAM JADWAL GENAP'!F$7:V$126,8,FALSE))</f>
        <v/>
      </c>
      <c r="AG39" s="213" t="str">
        <f>IF(AD39="","",VLOOKUP(AD39,'PROGRAM JADWAL GENAP'!F$7:V$126,9,FALSE))</f>
        <v/>
      </c>
      <c r="AH39" s="213" t="str">
        <f>IF(AJ39=4,2,AJ39)</f>
        <v/>
      </c>
      <c r="AI39" s="212" t="str">
        <f>IF(AD39="","",VLOOKUP(AD39,'PROGRAM JADWAL GENAP'!F$7:V$126,12,FALSE))</f>
        <v/>
      </c>
      <c r="AJ39" s="217" t="str">
        <f>IF(AD39="","",VLOOKUP(AD39,'PROGRAM JADWAL GENAP'!F$7:V$126,10,FALSE))</f>
        <v/>
      </c>
    </row>
    <row r="40" spans="1:36" ht="45" customHeight="1" x14ac:dyDescent="0.3">
      <c r="A40" s="211" t="str">
        <f>IF(C40="","",VLOOKUP(C40,'PROGRAM JADWAL GENAP'!F$7:V$126,14,FALSE))</f>
        <v/>
      </c>
      <c r="B40" s="211" t="str">
        <f>IF(C40="","",VLOOKUP(C40,'PROGRAM JADWAL GENAP'!F$7:V$126,15,FALSE))</f>
        <v/>
      </c>
      <c r="C40" s="212"/>
      <c r="D40" s="212" t="str">
        <f>IF(C40="","",VLOOKUP(C40,'PROGRAM JADWAL GENAP'!F$7:V$126,4,FALSE))</f>
        <v/>
      </c>
      <c r="E40" s="213" t="str">
        <f>IF(C40="","",VLOOKUP(C40,'PROGRAM JADWAL GENAP'!F$7:V$126,8,FALSE))</f>
        <v/>
      </c>
      <c r="F40" s="213" t="str">
        <f>IF(C40="","",VLOOKUP(C40,'PROGRAM JADWAL GENAP'!F$7:V$126,9,FALSE))</f>
        <v/>
      </c>
      <c r="G40" s="213" t="str">
        <f t="shared" ref="G40:G42" si="4">IF(I40=4,2,I40)</f>
        <v/>
      </c>
      <c r="H40" s="212" t="str">
        <f>IF(C40="","",VLOOKUP(C40,'PROGRAM JADWAL GENAP'!F$7:V$126,12,FALSE))</f>
        <v/>
      </c>
      <c r="I40" s="217" t="str">
        <f>IF(C40="","",VLOOKUP(C40,'PROGRAM JADWAL GENAP'!F$7:V$126,10,FALSE))</f>
        <v/>
      </c>
      <c r="J40" s="211" t="str">
        <f>IF(L40="","",VLOOKUP(L40,'PROGRAM JADWAL GENAP'!F$7:V$126,14,FALSE))</f>
        <v/>
      </c>
      <c r="K40" s="211" t="str">
        <f>IF(L40="","",VLOOKUP(L40,'PROGRAM JADWAL GENAP'!F$7:V$126,15,FALSE))</f>
        <v/>
      </c>
      <c r="L40" s="212"/>
      <c r="M40" s="212" t="str">
        <f>IF(L40="","",VLOOKUP(L40,'PROGRAM JADWAL GENAP'!F$7:V$126,4,FALSE))</f>
        <v/>
      </c>
      <c r="N40" s="213" t="str">
        <f>IF(L40="","",VLOOKUP(L40,'PROGRAM JADWAL GENAP'!F$7:V$126,8,FALSE))</f>
        <v/>
      </c>
      <c r="O40" s="213" t="str">
        <f>IF(L40="","",VLOOKUP(L40,'PROGRAM JADWAL GENAP'!F$7:V$126,9,FALSE))</f>
        <v/>
      </c>
      <c r="P40" s="213" t="str">
        <f t="shared" ref="P40:P42" si="5">IF(R40=4,2,R40)</f>
        <v/>
      </c>
      <c r="Q40" s="212" t="str">
        <f>IF(L40="","",VLOOKUP(L40,'PROGRAM JADWAL GENAP'!F$7:V$126,12,FALSE))</f>
        <v/>
      </c>
      <c r="R40" s="217" t="str">
        <f>IF(L40="","",VLOOKUP(L40,'PROGRAM JADWAL GENAP'!F$7:V$126,10,FALSE))</f>
        <v/>
      </c>
      <c r="S40" s="211" t="str">
        <f>IF(U40="","",VLOOKUP(U40,'PROGRAM JADWAL GENAP'!F$7:V$126,14,FALSE))</f>
        <v/>
      </c>
      <c r="T40" s="211" t="str">
        <f>IF(U40="","",VLOOKUP(U40,'PROGRAM JADWAL GENAP'!F$7:V$126,15,FALSE))</f>
        <v/>
      </c>
      <c r="U40" s="212"/>
      <c r="V40" s="212" t="str">
        <f>IF(U40="","",VLOOKUP(U40,'PROGRAM JADWAL GENAP'!F$7:V$126,4,FALSE))</f>
        <v/>
      </c>
      <c r="W40" s="213" t="str">
        <f>IF(U40="","",VLOOKUP(U40,'PROGRAM JADWAL GENAP'!F$7:V$126,8,FALSE))</f>
        <v/>
      </c>
      <c r="X40" s="213" t="str">
        <f>IF(U40="","",VLOOKUP(U40,'PROGRAM JADWAL GENAP'!F$7:V$126,9,FALSE))</f>
        <v/>
      </c>
      <c r="Y40" s="213" t="str">
        <f t="shared" ref="Y40:Y42" si="6">IF(AA40=4,2,AA40)</f>
        <v/>
      </c>
      <c r="Z40" s="212" t="str">
        <f>IF(U40="","",VLOOKUP(U40,'PROGRAM JADWAL GENAP'!F$7:V$126,12,FALSE))</f>
        <v/>
      </c>
      <c r="AA40" s="217" t="str">
        <f>IF(U40="","",VLOOKUP(U40,'PROGRAM JADWAL GENAP'!F$7:V$126,10,FALSE))</f>
        <v/>
      </c>
      <c r="AB40" s="211" t="str">
        <f>IF(AD40="","",VLOOKUP(AD40,'PROGRAM JADWAL GENAP'!F$7:V$126,14,FALSE))</f>
        <v/>
      </c>
      <c r="AC40" s="211" t="str">
        <f>IF(AD40="","",VLOOKUP(AD40,'PROGRAM JADWAL GENAP'!F$7:V$126,15,FALSE))</f>
        <v/>
      </c>
      <c r="AD40" s="212"/>
      <c r="AE40" s="212" t="str">
        <f>IF(AD40="","",VLOOKUP(AD40,'PROGRAM JADWAL GENAP'!F$7:V$126,4,FALSE))</f>
        <v/>
      </c>
      <c r="AF40" s="213" t="str">
        <f>IF(AD40="","",VLOOKUP(AD40,'PROGRAM JADWAL GENAP'!F$7:V$126,8,FALSE))</f>
        <v/>
      </c>
      <c r="AG40" s="213" t="str">
        <f>IF(AD40="","",VLOOKUP(AD40,'PROGRAM JADWAL GENAP'!F$7:V$126,9,FALSE))</f>
        <v/>
      </c>
      <c r="AH40" s="213" t="str">
        <f t="shared" ref="AH40:AH42" si="7">IF(AJ40=4,2,AJ40)</f>
        <v/>
      </c>
      <c r="AI40" s="212" t="str">
        <f>IF(AD40="","",VLOOKUP(AD40,'PROGRAM JADWAL GENAP'!F$7:V$126,12,FALSE))</f>
        <v/>
      </c>
      <c r="AJ40" s="217" t="str">
        <f>IF(AD40="","",VLOOKUP(AD40,'PROGRAM JADWAL GENAP'!F$7:V$126,10,FALSE))</f>
        <v/>
      </c>
    </row>
    <row r="41" spans="1:36" ht="45" customHeight="1" x14ac:dyDescent="0.3">
      <c r="A41" s="211" t="str">
        <f>IF(C41="","",VLOOKUP(C41,'PROGRAM JADWAL GENAP'!F$7:V$126,14,FALSE))</f>
        <v/>
      </c>
      <c r="B41" s="211" t="str">
        <f>IF(C41="","",VLOOKUP(C41,'PROGRAM JADWAL GENAP'!F$7:V$126,15,FALSE))</f>
        <v/>
      </c>
      <c r="C41" s="212"/>
      <c r="D41" s="212" t="str">
        <f>IF(C41="","",VLOOKUP(C41,'PROGRAM JADWAL GENAP'!F$7:V$126,4,FALSE))</f>
        <v/>
      </c>
      <c r="E41" s="213" t="str">
        <f>IF(C41="","",VLOOKUP(C41,'PROGRAM JADWAL GENAP'!F$7:V$126,8,FALSE))</f>
        <v/>
      </c>
      <c r="F41" s="213" t="str">
        <f>IF(C41="","",VLOOKUP(C41,'PROGRAM JADWAL GENAP'!F$7:V$126,9,FALSE))</f>
        <v/>
      </c>
      <c r="G41" s="213" t="str">
        <f t="shared" si="4"/>
        <v/>
      </c>
      <c r="H41" s="212" t="str">
        <f>IF(C41="","",VLOOKUP(C41,'PROGRAM JADWAL GENAP'!F$7:V$126,12,FALSE))</f>
        <v/>
      </c>
      <c r="I41" s="217" t="str">
        <f>IF(C41="","",VLOOKUP(C41,'PROGRAM JADWAL GENAP'!F$7:V$126,10,FALSE))</f>
        <v/>
      </c>
      <c r="J41" s="211" t="str">
        <f>IF(L41="","",VLOOKUP(L41,'PROGRAM JADWAL GENAP'!F$7:V$126,14,FALSE))</f>
        <v>Morteza Muthahhari, S.Kom., M.T.I / Fauzan Asrin, S.Kom, M. Kom.</v>
      </c>
      <c r="K41" s="211">
        <f>IF(L41="","",VLOOKUP(L41,'PROGRAM JADWAL GENAP'!F$7:V$126,15,FALSE))</f>
        <v>0</v>
      </c>
      <c r="L41" s="212" t="s">
        <v>514</v>
      </c>
      <c r="M41" s="212" t="str">
        <f>IF(L41="","",VLOOKUP(L41,'PROGRAM JADWAL GENAP'!F$7:V$126,4,FALSE))</f>
        <v>Struktur  Data  dan Algoritma*</v>
      </c>
      <c r="N41" s="213" t="str">
        <f>IF(L41="","",VLOOKUP(L41,'PROGRAM JADWAL GENAP'!F$7:V$126,8,FALSE))</f>
        <v>A</v>
      </c>
      <c r="O41" s="213">
        <f>IF(L41="","",VLOOKUP(L41,'PROGRAM JADWAL GENAP'!F$7:V$126,9,FALSE))</f>
        <v>2</v>
      </c>
      <c r="P41" s="213">
        <f t="shared" si="5"/>
        <v>2</v>
      </c>
      <c r="Q41" s="212" t="str">
        <f>IF(L41="","",VLOOKUP(L41,'PROGRAM JADWAL GENAP'!F$7:V$126,12,FALSE))</f>
        <v>Morteza Muthahhari, S.Kom., M.T.I</v>
      </c>
      <c r="R41" s="217">
        <f>IF(L41="","",VLOOKUP(L41,'PROGRAM JADWAL GENAP'!F$7:V$126,10,FALSE))</f>
        <v>4</v>
      </c>
      <c r="S41" s="211" t="str">
        <f>IF(U41="","",VLOOKUP(U41,'PROGRAM JADWAL GENAP'!F$7:V$126,14,FALSE))</f>
        <v/>
      </c>
      <c r="T41" s="211" t="str">
        <f>IF(U41="","",VLOOKUP(U41,'PROGRAM JADWAL GENAP'!F$7:V$126,15,FALSE))</f>
        <v/>
      </c>
      <c r="U41" s="212"/>
      <c r="V41" s="212" t="str">
        <f>IF(U41="","",VLOOKUP(U41,'PROGRAM JADWAL GENAP'!F$7:V$126,4,FALSE))</f>
        <v/>
      </c>
      <c r="W41" s="213" t="str">
        <f>IF(U41="","",VLOOKUP(U41,'PROGRAM JADWAL GENAP'!F$7:V$126,8,FALSE))</f>
        <v/>
      </c>
      <c r="X41" s="213" t="str">
        <f>IF(U41="","",VLOOKUP(U41,'PROGRAM JADWAL GENAP'!F$7:V$126,9,FALSE))</f>
        <v/>
      </c>
      <c r="Y41" s="213" t="str">
        <f t="shared" si="6"/>
        <v/>
      </c>
      <c r="Z41" s="212" t="str">
        <f>IF(U41="","",VLOOKUP(U41,'PROGRAM JADWAL GENAP'!F$7:V$126,12,FALSE))</f>
        <v/>
      </c>
      <c r="AA41" s="217" t="str">
        <f>IF(U41="","",VLOOKUP(U41,'PROGRAM JADWAL GENAP'!F$7:V$126,10,FALSE))</f>
        <v/>
      </c>
      <c r="AB41" s="211" t="str">
        <f>IF(AD41="","",VLOOKUP(AD41,'PROGRAM JADWAL GENAP'!F$7:V$126,14,FALSE))</f>
        <v/>
      </c>
      <c r="AC41" s="211" t="str">
        <f>IF(AD41="","",VLOOKUP(AD41,'PROGRAM JADWAL GENAP'!F$7:V$126,15,FALSE))</f>
        <v/>
      </c>
      <c r="AD41" s="212"/>
      <c r="AE41" s="212" t="str">
        <f>IF(AD41="","",VLOOKUP(AD41,'PROGRAM JADWAL GENAP'!F$7:V$126,4,FALSE))</f>
        <v/>
      </c>
      <c r="AF41" s="213" t="str">
        <f>IF(AD41="","",VLOOKUP(AD41,'PROGRAM JADWAL GENAP'!F$7:V$126,8,FALSE))</f>
        <v/>
      </c>
      <c r="AG41" s="213" t="str">
        <f>IF(AD41="","",VLOOKUP(AD41,'PROGRAM JADWAL GENAP'!F$7:V$126,9,FALSE))</f>
        <v/>
      </c>
      <c r="AH41" s="213" t="str">
        <f t="shared" si="7"/>
        <v/>
      </c>
      <c r="AI41" s="212" t="str">
        <f>IF(AD41="","",VLOOKUP(AD41,'PROGRAM JADWAL GENAP'!F$7:V$126,12,FALSE))</f>
        <v/>
      </c>
      <c r="AJ41" s="217" t="str">
        <f>IF(AD41="","",VLOOKUP(AD41,'PROGRAM JADWAL GENAP'!F$7:V$126,10,FALSE))</f>
        <v/>
      </c>
    </row>
    <row r="42" spans="1:36" ht="45" customHeight="1" x14ac:dyDescent="0.3">
      <c r="A42" s="211"/>
      <c r="B42" s="211"/>
      <c r="C42" s="212"/>
      <c r="D42" s="212" t="str">
        <f>IF(C42="","",VLOOKUP(C42,'PROGRAM JADWAL GENAP'!F$7:V$126,4,FALSE))</f>
        <v/>
      </c>
      <c r="E42" s="213"/>
      <c r="F42" s="213"/>
      <c r="G42" s="213" t="str">
        <f t="shared" si="4"/>
        <v/>
      </c>
      <c r="H42" s="212"/>
      <c r="I42" s="217" t="str">
        <f>IF(C42="","",VLOOKUP(C42,'PROGRAM JADWAL GENAP'!F$7:V$126,10,FALSE))</f>
        <v/>
      </c>
      <c r="J42" s="211" t="str">
        <f>IF(L42="","",VLOOKUP(L42,'PROGRAM JADWAL GENAP'!F$7:V$126,14,FALSE))</f>
        <v>Anggi Srimurdianti, S.T., M.T. / Rina Septiriana, S.T., M.Cs.</v>
      </c>
      <c r="K42" s="211">
        <f>IF(L42="","",VLOOKUP(L42,'PROGRAM JADWAL GENAP'!F$7:V$126,15,FALSE))</f>
        <v>0</v>
      </c>
      <c r="L42" s="212" t="s">
        <v>509</v>
      </c>
      <c r="M42" s="212" t="str">
        <f>IF(L42="","",VLOOKUP(L42,'PROGRAM JADWAL GENAP'!F$7:V$126,4,FALSE))</f>
        <v>Matematika  Dasar II</v>
      </c>
      <c r="N42" s="213" t="str">
        <f>IF(L42="","",VLOOKUP(L42,'PROGRAM JADWAL GENAP'!F$7:V$126,8,FALSE))</f>
        <v>C</v>
      </c>
      <c r="O42" s="213">
        <f>IF(L42="","",VLOOKUP(L42,'PROGRAM JADWAL GENAP'!F$7:V$126,9,FALSE))</f>
        <v>2</v>
      </c>
      <c r="P42" s="213">
        <f t="shared" si="5"/>
        <v>3</v>
      </c>
      <c r="Q42" s="212" t="str">
        <f>IF(L42="","",VLOOKUP(L42,'PROGRAM JADWAL GENAP'!F$7:V$126,12,FALSE))</f>
        <v>Anggi Srimurdianti, S.T., M.T.</v>
      </c>
      <c r="R42" s="217">
        <f>IF(L42="","",VLOOKUP(L42,'PROGRAM JADWAL GENAP'!F$7:V$126,10,FALSE))</f>
        <v>3</v>
      </c>
      <c r="S42" s="211" t="str">
        <f>IF(U42="","",VLOOKUP(U42,'PROGRAM JADWAL GENAP'!F$7:V$126,14,FALSE))</f>
        <v/>
      </c>
      <c r="T42" s="211" t="str">
        <f>IF(U42="","",VLOOKUP(U42,'PROGRAM JADWAL GENAP'!F$7:V$126,15,FALSE))</f>
        <v/>
      </c>
      <c r="U42" s="212"/>
      <c r="V42" s="212" t="str">
        <f>IF(U42="","",VLOOKUP(U42,'PROGRAM JADWAL GENAP'!F$7:V$126,4,FALSE))</f>
        <v/>
      </c>
      <c r="W42" s="213" t="str">
        <f>IF(U42="","",VLOOKUP(U42,'PROGRAM JADWAL GENAP'!F$7:V$126,8,FALSE))</f>
        <v/>
      </c>
      <c r="X42" s="213" t="str">
        <f>IF(U42="","",VLOOKUP(U42,'PROGRAM JADWAL GENAP'!F$7:V$126,9,FALSE))</f>
        <v/>
      </c>
      <c r="Y42" s="213" t="str">
        <f t="shared" si="6"/>
        <v/>
      </c>
      <c r="Z42" s="212" t="str">
        <f>IF(U42="","",VLOOKUP(U42,'PROGRAM JADWAL GENAP'!F$7:V$126,12,FALSE))</f>
        <v/>
      </c>
      <c r="AA42" s="217" t="str">
        <f>IF(U42="","",VLOOKUP(U42,'PROGRAM JADWAL GENAP'!F$7:V$126,10,FALSE))</f>
        <v/>
      </c>
      <c r="AB42" s="211" t="str">
        <f>IF(AD42="","",VLOOKUP(AD42,'PROGRAM JADWAL GENAP'!F$7:V$126,14,FALSE))</f>
        <v/>
      </c>
      <c r="AC42" s="211" t="str">
        <f>IF(AD42="","",VLOOKUP(AD42,'PROGRAM JADWAL GENAP'!F$7:V$126,15,FALSE))</f>
        <v/>
      </c>
      <c r="AD42" s="212"/>
      <c r="AE42" s="212" t="str">
        <f>IF(AD42="","",VLOOKUP(AD42,'PROGRAM JADWAL GENAP'!F$7:V$126,4,FALSE))</f>
        <v/>
      </c>
      <c r="AF42" s="213" t="str">
        <f>IF(AD42="","",VLOOKUP(AD42,'PROGRAM JADWAL GENAP'!F$7:V$126,8,FALSE))</f>
        <v/>
      </c>
      <c r="AG42" s="213" t="str">
        <f>IF(AD42="","",VLOOKUP(AD42,'PROGRAM JADWAL GENAP'!F$7:V$126,9,FALSE))</f>
        <v/>
      </c>
      <c r="AH42" s="213" t="str">
        <f t="shared" si="7"/>
        <v/>
      </c>
      <c r="AI42" s="212" t="str">
        <f>IF(AD42="","",VLOOKUP(AD42,'PROGRAM JADWAL GENAP'!F$7:V$126,12,FALSE))</f>
        <v/>
      </c>
      <c r="AJ42" s="217" t="str">
        <f>IF(AD42="","",VLOOKUP(AD42,'PROGRAM JADWAL GENAP'!F$7:V$126,10,FALSE))</f>
        <v/>
      </c>
    </row>
    <row r="43" spans="1:36" ht="15.6" x14ac:dyDescent="0.3">
      <c r="A43" s="269" t="s">
        <v>327</v>
      </c>
      <c r="B43" s="269"/>
      <c r="C43" s="269"/>
      <c r="D43" s="269"/>
      <c r="E43" s="269"/>
      <c r="F43" s="269"/>
      <c r="G43" s="269"/>
      <c r="H43" s="269"/>
      <c r="J43" s="269" t="s">
        <v>327</v>
      </c>
      <c r="K43" s="269"/>
      <c r="L43" s="269"/>
      <c r="M43" s="269"/>
      <c r="N43" s="269"/>
      <c r="O43" s="269"/>
      <c r="P43" s="269"/>
      <c r="Q43" s="269"/>
      <c r="R43" s="217" t="str">
        <f>IF(L43="","",VLOOKUP(L43,'PROGRAM JADWAL GENAP'!F$7:V$126,10,FALSE))</f>
        <v/>
      </c>
      <c r="S43" s="269" t="s">
        <v>327</v>
      </c>
      <c r="T43" s="269"/>
      <c r="U43" s="269"/>
      <c r="V43" s="269"/>
      <c r="W43" s="269"/>
      <c r="X43" s="269"/>
      <c r="Y43" s="269"/>
      <c r="Z43" s="269"/>
      <c r="AA43" s="217" t="str">
        <f>IF(U43="","",VLOOKUP(U43,'PROGRAM JADWAL GENAP'!F$7:V$126,10,FALSE))</f>
        <v/>
      </c>
      <c r="AB43" s="269" t="s">
        <v>327</v>
      </c>
      <c r="AC43" s="269"/>
      <c r="AD43" s="269"/>
      <c r="AE43" s="269"/>
      <c r="AF43" s="269"/>
      <c r="AG43" s="269"/>
      <c r="AH43" s="269"/>
      <c r="AI43" s="269"/>
      <c r="AJ43" s="217" t="str">
        <f>IF(AD43="","",VLOOKUP(AD43,'PROGRAM JADWAL GENAP'!F$7:V$126,10,FALSE))</f>
        <v/>
      </c>
    </row>
    <row r="44" spans="1:36" ht="15.6" x14ac:dyDescent="0.3">
      <c r="A44" s="207" t="s">
        <v>536</v>
      </c>
      <c r="B44" s="207" t="s">
        <v>537</v>
      </c>
      <c r="C44" s="207" t="s">
        <v>538</v>
      </c>
      <c r="D44" s="207" t="s">
        <v>540</v>
      </c>
      <c r="E44" s="209" t="s">
        <v>150</v>
      </c>
      <c r="F44" s="209" t="s">
        <v>175</v>
      </c>
      <c r="G44" s="209" t="s">
        <v>83</v>
      </c>
      <c r="H44" s="207" t="s">
        <v>539</v>
      </c>
      <c r="J44" s="207" t="s">
        <v>536</v>
      </c>
      <c r="K44" s="207" t="s">
        <v>537</v>
      </c>
      <c r="L44" s="207" t="s">
        <v>538</v>
      </c>
      <c r="M44" s="207" t="s">
        <v>540</v>
      </c>
      <c r="N44" s="209" t="s">
        <v>150</v>
      </c>
      <c r="O44" s="209" t="s">
        <v>175</v>
      </c>
      <c r="P44" s="209" t="s">
        <v>83</v>
      </c>
      <c r="Q44" s="207" t="s">
        <v>539</v>
      </c>
      <c r="R44" s="217" t="e">
        <f>IF(L44="","",VLOOKUP(L44,'PROGRAM JADWAL GENAP'!F$7:V$126,10,FALSE))</f>
        <v>#N/A</v>
      </c>
      <c r="S44" s="207" t="s">
        <v>536</v>
      </c>
      <c r="T44" s="207" t="s">
        <v>537</v>
      </c>
      <c r="U44" s="207" t="s">
        <v>538</v>
      </c>
      <c r="V44" s="207" t="s">
        <v>540</v>
      </c>
      <c r="W44" s="209" t="s">
        <v>150</v>
      </c>
      <c r="X44" s="209" t="s">
        <v>175</v>
      </c>
      <c r="Y44" s="209" t="s">
        <v>83</v>
      </c>
      <c r="Z44" s="207" t="s">
        <v>539</v>
      </c>
      <c r="AA44" s="217" t="e">
        <f>IF(U44="","",VLOOKUP(U44,'PROGRAM JADWAL GENAP'!F$7:V$126,10,FALSE))</f>
        <v>#N/A</v>
      </c>
      <c r="AB44" s="207" t="s">
        <v>536</v>
      </c>
      <c r="AC44" s="207" t="s">
        <v>537</v>
      </c>
      <c r="AD44" s="207" t="s">
        <v>538</v>
      </c>
      <c r="AE44" s="207" t="s">
        <v>540</v>
      </c>
      <c r="AF44" s="209" t="s">
        <v>150</v>
      </c>
      <c r="AG44" s="209" t="s">
        <v>175</v>
      </c>
      <c r="AH44" s="209" t="s">
        <v>83</v>
      </c>
      <c r="AI44" s="207" t="s">
        <v>539</v>
      </c>
      <c r="AJ44" s="217" t="e">
        <f>IF(AD44="","",VLOOKUP(AD44,'PROGRAM JADWAL GENAP'!F$7:V$126,10,FALSE))</f>
        <v>#N/A</v>
      </c>
    </row>
    <row r="45" spans="1:36" ht="45" customHeight="1" x14ac:dyDescent="0.3">
      <c r="A45" s="211" t="e">
        <f>IF(C45="","",VLOOKUP(C45,'PROGRAM JADWAL GENAP'!F$7:V$126,14,FALSE))</f>
        <v>#N/A</v>
      </c>
      <c r="B45" s="211" t="e">
        <f>IF(C45="","",VLOOKUP(C45,'PROGRAM JADWAL GENAP'!F$7:V$126,15,FALSE))</f>
        <v>#N/A</v>
      </c>
      <c r="C45" s="212" t="s">
        <v>506</v>
      </c>
      <c r="D45" s="212" t="e">
        <f>IF(C45="","",VLOOKUP(C45,'PROGRAM JADWAL GENAP'!F$7:V$126,4,FALSE))</f>
        <v>#N/A</v>
      </c>
      <c r="E45" s="213" t="e">
        <f>IF(C45="","",VLOOKUP(C45,'PROGRAM JADWAL GENAP'!F$7:V$126,8,FALSE))</f>
        <v>#N/A</v>
      </c>
      <c r="F45" s="213" t="e">
        <f>IF(C45="","",VLOOKUP(C45,'PROGRAM JADWAL GENAP'!F$7:V$126,9,FALSE))</f>
        <v>#N/A</v>
      </c>
      <c r="G45" s="213" t="e">
        <f>IF(I45=4,2,I45)</f>
        <v>#N/A</v>
      </c>
      <c r="H45" s="212" t="e">
        <f>IF(C45="","",VLOOKUP(C45,'PROGRAM JADWAL GENAP'!F$7:V$126,12,FALSE))</f>
        <v>#N/A</v>
      </c>
      <c r="I45" s="217" t="e">
        <f>IF(C45="","",VLOOKUP(C45,'PROGRAM JADWAL GENAP'!F$7:V$126,10,FALSE))</f>
        <v>#N/A</v>
      </c>
      <c r="J45" s="211" t="str">
        <f>IF(L45="","",VLOOKUP(L45,'PROGRAM JADWAL GENAP'!F$7:V$126,14,FALSE))</f>
        <v/>
      </c>
      <c r="K45" s="211" t="str">
        <f>IF(L45="","",VLOOKUP(L45,'PROGRAM JADWAL GENAP'!F$7:V$126,15,FALSE))</f>
        <v/>
      </c>
      <c r="L45" s="212"/>
      <c r="M45" s="212" t="str">
        <f>IF(L45="","",VLOOKUP(L45,'PROGRAM JADWAL GENAP'!F$7:V$126,4,FALSE))</f>
        <v/>
      </c>
      <c r="N45" s="213" t="str">
        <f>IF(L45="","",VLOOKUP(L45,'PROGRAM JADWAL GENAP'!F$7:V$126,8,FALSE))</f>
        <v/>
      </c>
      <c r="O45" s="213" t="str">
        <f>IF(L45="","",VLOOKUP(L45,'PROGRAM JADWAL GENAP'!F$7:V$126,9,FALSE))</f>
        <v/>
      </c>
      <c r="P45" s="213" t="str">
        <f>IF(R45=4,2,R45)</f>
        <v/>
      </c>
      <c r="Q45" s="212" t="str">
        <f>IF(L45="","",VLOOKUP(L45,'PROGRAM JADWAL GENAP'!F$7:V$126,12,FALSE))</f>
        <v/>
      </c>
      <c r="R45" s="217" t="str">
        <f>IF(L45="","",VLOOKUP(L45,'PROGRAM JADWAL GENAP'!F$7:V$126,10,FALSE))</f>
        <v/>
      </c>
      <c r="S45" s="211" t="str">
        <f>IF(U45="","",VLOOKUP(U45,'PROGRAM JADWAL GENAP'!F$7:V$126,14,FALSE))</f>
        <v/>
      </c>
      <c r="T45" s="211" t="str">
        <f>IF(U45="","",VLOOKUP(U45,'PROGRAM JADWAL GENAP'!F$7:V$126,15,FALSE))</f>
        <v/>
      </c>
      <c r="U45" s="212"/>
      <c r="V45" s="212" t="str">
        <f>IF(U45="","",VLOOKUP(U45,'PROGRAM JADWAL GENAP'!F$7:V$126,4,FALSE))</f>
        <v/>
      </c>
      <c r="W45" s="213" t="str">
        <f>IF(U45="","",VLOOKUP(U45,'PROGRAM JADWAL GENAP'!F$7:V$126,8,FALSE))</f>
        <v/>
      </c>
      <c r="X45" s="213" t="str">
        <f>IF(U45="","",VLOOKUP(U45,'PROGRAM JADWAL GENAP'!F$7:V$126,9,FALSE))</f>
        <v/>
      </c>
      <c r="Y45" s="213" t="str">
        <f>IF(AA45=4,2,AA45)</f>
        <v/>
      </c>
      <c r="Z45" s="212" t="str">
        <f>IF(U45="","",VLOOKUP(U45,'PROGRAM JADWAL GENAP'!F$7:V$126,12,FALSE))</f>
        <v/>
      </c>
      <c r="AA45" s="217" t="str">
        <f>IF(U45="","",VLOOKUP(U45,'PROGRAM JADWAL GENAP'!F$7:V$126,10,FALSE))</f>
        <v/>
      </c>
      <c r="AB45" s="211" t="str">
        <f>IF(AD45="","",VLOOKUP(AD45,'PROGRAM JADWAL GENAP'!F$7:V$126,14,FALSE))</f>
        <v/>
      </c>
      <c r="AC45" s="211" t="str">
        <f>IF(AD45="","",VLOOKUP(AD45,'PROGRAM JADWAL GENAP'!F$7:V$126,15,FALSE))</f>
        <v/>
      </c>
      <c r="AD45" s="212"/>
      <c r="AE45" s="212" t="str">
        <f>IF(AD45="","",VLOOKUP(AD45,'PROGRAM JADWAL GENAP'!F$7:V$126,4,FALSE))</f>
        <v/>
      </c>
      <c r="AF45" s="213" t="str">
        <f>IF(AD45="","",VLOOKUP(AD45,'PROGRAM JADWAL GENAP'!F$7:V$126,8,FALSE))</f>
        <v/>
      </c>
      <c r="AG45" s="213" t="str">
        <f>IF(AD45="","",VLOOKUP(AD45,'PROGRAM JADWAL GENAP'!F$7:V$126,9,FALSE))</f>
        <v/>
      </c>
      <c r="AH45" s="213" t="str">
        <f>IF(AJ45=4,2,AJ45)</f>
        <v/>
      </c>
      <c r="AI45" s="212" t="str">
        <f>IF(AD45="","",VLOOKUP(AD45,'PROGRAM JADWAL GENAP'!F$7:V$126,12,FALSE))</f>
        <v/>
      </c>
      <c r="AJ45" s="217" t="str">
        <f>IF(AD45="","",VLOOKUP(AD45,'PROGRAM JADWAL GENAP'!F$7:V$126,10,FALSE))</f>
        <v/>
      </c>
    </row>
    <row r="46" spans="1:36" ht="45" customHeight="1" x14ac:dyDescent="0.3">
      <c r="A46" s="211" t="str">
        <f>IF(C46="","",VLOOKUP(C46,'PROGRAM JADWAL GENAP'!F$7:V$126,14,FALSE))</f>
        <v>MKU</v>
      </c>
      <c r="B46" s="211">
        <f>IF(C46="","",VLOOKUP(C46,'PROGRAM JADWAL GENAP'!F$7:V$126,15,FALSE))</f>
        <v>0</v>
      </c>
      <c r="C46" s="212" t="s">
        <v>526</v>
      </c>
      <c r="D46" s="212" t="str">
        <f>IF(C46="","",VLOOKUP(C46,'PROGRAM JADWAL GENAP'!F$7:V$126,4,FALSE))</f>
        <v>Bahasa Indonesia</v>
      </c>
      <c r="E46" s="213" t="str">
        <f>IF(C46="","",VLOOKUP(C46,'PROGRAM JADWAL GENAP'!F$7:V$126,8,FALSE))</f>
        <v>A</v>
      </c>
      <c r="F46" s="213">
        <f>IF(C46="","",VLOOKUP(C46,'PROGRAM JADWAL GENAP'!F$7:V$126,9,FALSE))</f>
        <v>2</v>
      </c>
      <c r="G46" s="213">
        <f t="shared" ref="G46:G48" si="8">IF(I46=4,2,I46)</f>
        <v>2</v>
      </c>
      <c r="H46" s="212" t="str">
        <f>IF(C46="","",VLOOKUP(C46,'PROGRAM JADWAL GENAP'!F$7:V$126,12,FALSE))</f>
        <v>MKU</v>
      </c>
      <c r="I46" s="217">
        <f>IF(C46="","",VLOOKUP(C46,'PROGRAM JADWAL GENAP'!F$7:V$126,10,FALSE))</f>
        <v>2</v>
      </c>
      <c r="J46" s="211" t="str">
        <f>IF(L46="","",VLOOKUP(L46,'PROGRAM JADWAL GENAP'!F$7:V$126,14,FALSE))</f>
        <v>MKU</v>
      </c>
      <c r="K46" s="211">
        <f>IF(L46="","",VLOOKUP(L46,'PROGRAM JADWAL GENAP'!F$7:V$126,15,FALSE))</f>
        <v>0</v>
      </c>
      <c r="L46" s="212" t="s">
        <v>523</v>
      </c>
      <c r="M46" s="212" t="str">
        <f>IF(L46="","",VLOOKUP(L46,'PROGRAM JADWAL GENAP'!F$7:V$126,4,FALSE))</f>
        <v>Kewarganegaraan</v>
      </c>
      <c r="N46" s="213" t="str">
        <f>IF(L46="","",VLOOKUP(L46,'PROGRAM JADWAL GENAP'!F$7:V$126,8,FALSE))</f>
        <v>B</v>
      </c>
      <c r="O46" s="213">
        <f>IF(L46="","",VLOOKUP(L46,'PROGRAM JADWAL GENAP'!F$7:V$126,9,FALSE))</f>
        <v>2</v>
      </c>
      <c r="P46" s="213">
        <f t="shared" ref="P46:P48" si="9">IF(R46=4,2,R46)</f>
        <v>2</v>
      </c>
      <c r="Q46" s="212" t="str">
        <f>IF(L46="","",VLOOKUP(L46,'PROGRAM JADWAL GENAP'!F$7:V$126,12,FALSE))</f>
        <v>MKU</v>
      </c>
      <c r="R46" s="217">
        <f>IF(L46="","",VLOOKUP(L46,'PROGRAM JADWAL GENAP'!F$7:V$126,10,FALSE))</f>
        <v>2</v>
      </c>
      <c r="S46" s="211" t="str">
        <f>IF(U46="","",VLOOKUP(U46,'PROGRAM JADWAL GENAP'!F$7:V$126,14,FALSE))</f>
        <v/>
      </c>
      <c r="T46" s="211" t="str">
        <f>IF(U46="","",VLOOKUP(U46,'PROGRAM JADWAL GENAP'!F$7:V$126,15,FALSE))</f>
        <v/>
      </c>
      <c r="U46" s="212"/>
      <c r="V46" s="212" t="str">
        <f>IF(U46="","",VLOOKUP(U46,'PROGRAM JADWAL GENAP'!F$7:V$126,4,FALSE))</f>
        <v/>
      </c>
      <c r="W46" s="213" t="str">
        <f>IF(U46="","",VLOOKUP(U46,'PROGRAM JADWAL GENAP'!F$7:V$126,8,FALSE))</f>
        <v/>
      </c>
      <c r="X46" s="213" t="str">
        <f>IF(U46="","",VLOOKUP(U46,'PROGRAM JADWAL GENAP'!F$7:V$126,9,FALSE))</f>
        <v/>
      </c>
      <c r="Y46" s="213" t="str">
        <f t="shared" ref="Y46:Y48" si="10">IF(AA46=4,2,AA46)</f>
        <v/>
      </c>
      <c r="Z46" s="212" t="str">
        <f>IF(U46="","",VLOOKUP(U46,'PROGRAM JADWAL GENAP'!F$7:V$126,12,FALSE))</f>
        <v/>
      </c>
      <c r="AA46" s="217" t="str">
        <f>IF(U46="","",VLOOKUP(U46,'PROGRAM JADWAL GENAP'!F$7:V$126,10,FALSE))</f>
        <v/>
      </c>
      <c r="AB46" s="211" t="str">
        <f>IF(AD46="","",VLOOKUP(AD46,'PROGRAM JADWAL GENAP'!F$7:V$126,14,FALSE))</f>
        <v/>
      </c>
      <c r="AC46" s="211" t="str">
        <f>IF(AD46="","",VLOOKUP(AD46,'PROGRAM JADWAL GENAP'!F$7:V$126,15,FALSE))</f>
        <v/>
      </c>
      <c r="AD46" s="212"/>
      <c r="AE46" s="212" t="str">
        <f>IF(AD46="","",VLOOKUP(AD46,'PROGRAM JADWAL GENAP'!F$7:V$126,4,FALSE))</f>
        <v/>
      </c>
      <c r="AF46" s="213" t="str">
        <f>IF(AD46="","",VLOOKUP(AD46,'PROGRAM JADWAL GENAP'!F$7:V$126,8,FALSE))</f>
        <v/>
      </c>
      <c r="AG46" s="213" t="str">
        <f>IF(AD46="","",VLOOKUP(AD46,'PROGRAM JADWAL GENAP'!F$7:V$126,9,FALSE))</f>
        <v/>
      </c>
      <c r="AH46" s="213" t="str">
        <f t="shared" ref="AH46:AH48" si="11">IF(AJ46=4,2,AJ46)</f>
        <v/>
      </c>
      <c r="AI46" s="212" t="str">
        <f>IF(AD46="","",VLOOKUP(AD46,'PROGRAM JADWAL GENAP'!F$7:V$126,12,FALSE))</f>
        <v/>
      </c>
      <c r="AJ46" s="217" t="str">
        <f>IF(AD46="","",VLOOKUP(AD46,'PROGRAM JADWAL GENAP'!F$7:V$126,10,FALSE))</f>
        <v/>
      </c>
    </row>
    <row r="47" spans="1:36" ht="45" customHeight="1" x14ac:dyDescent="0.3">
      <c r="A47" s="211" t="str">
        <f>IF(C47="","",VLOOKUP(C47,'PROGRAM JADWAL GENAP'!F$7:V$126,14,FALSE))</f>
        <v>Morteza Muthahhari, S.Kom., M.T.I / Alfian Abdul Jalid, S.Kom., M.Cs.</v>
      </c>
      <c r="B47" s="211">
        <f>IF(C47="","",VLOOKUP(C47,'PROGRAM JADWAL GENAP'!F$7:V$126,15,FALSE))</f>
        <v>0</v>
      </c>
      <c r="C47" s="212" t="s">
        <v>513</v>
      </c>
      <c r="D47" s="212" t="str">
        <f>IF(C47="","",VLOOKUP(C47,'PROGRAM JADWAL GENAP'!F$7:V$126,4,FALSE))</f>
        <v>Organisasi  dan Arsitektur Komputer  </v>
      </c>
      <c r="E47" s="213" t="str">
        <f>IF(C47="","",VLOOKUP(C47,'PROGRAM JADWAL GENAP'!F$7:V$126,8,FALSE))</f>
        <v>C</v>
      </c>
      <c r="F47" s="213">
        <f>IF(C47="","",VLOOKUP(C47,'PROGRAM JADWAL GENAP'!F$7:V$126,9,FALSE))</f>
        <v>2</v>
      </c>
      <c r="G47" s="213">
        <f t="shared" si="8"/>
        <v>3</v>
      </c>
      <c r="H47" s="212" t="str">
        <f>IF(C47="","",VLOOKUP(C47,'PROGRAM JADWAL GENAP'!F$7:V$126,12,FALSE))</f>
        <v>Morteza Muthahhari, S.Kom., M.T.I</v>
      </c>
      <c r="I47" s="217">
        <f>IF(C47="","",VLOOKUP(C47,'PROGRAM JADWAL GENAP'!F$7:V$126,10,FALSE))</f>
        <v>3</v>
      </c>
      <c r="J47" s="211" t="e">
        <f>IF(L47="","",VLOOKUP(L47,'PROGRAM JADWAL GENAP'!F$7:V$126,14,FALSE))</f>
        <v>#N/A</v>
      </c>
      <c r="K47" s="211" t="e">
        <f>IF(L47="","",VLOOKUP(L47,'PROGRAM JADWAL GENAP'!F$7:V$126,15,FALSE))</f>
        <v>#N/A</v>
      </c>
      <c r="L47" s="212" t="s">
        <v>512</v>
      </c>
      <c r="M47" s="212" t="e">
        <f>IF(L47="","",VLOOKUP(L47,'PROGRAM JADWAL GENAP'!F$7:V$126,4,FALSE))</f>
        <v>#N/A</v>
      </c>
      <c r="N47" s="213" t="e">
        <f>IF(L47="","",VLOOKUP(L47,'PROGRAM JADWAL GENAP'!F$7:V$126,8,FALSE))</f>
        <v>#N/A</v>
      </c>
      <c r="O47" s="213" t="e">
        <f>IF(L47="","",VLOOKUP(L47,'PROGRAM JADWAL GENAP'!F$7:V$126,9,FALSE))</f>
        <v>#N/A</v>
      </c>
      <c r="P47" s="213" t="e">
        <f t="shared" si="9"/>
        <v>#N/A</v>
      </c>
      <c r="Q47" s="212" t="e">
        <f>IF(L47="","",VLOOKUP(L47,'PROGRAM JADWAL GENAP'!F$7:V$126,12,FALSE))</f>
        <v>#N/A</v>
      </c>
      <c r="R47" s="217" t="e">
        <f>IF(L47="","",VLOOKUP(L47,'PROGRAM JADWAL GENAP'!F$7:V$126,10,FALSE))</f>
        <v>#N/A</v>
      </c>
      <c r="S47" s="211" t="str">
        <f>IF(U47="","",VLOOKUP(U47,'PROGRAM JADWAL GENAP'!F$7:V$126,14,FALSE))</f>
        <v/>
      </c>
      <c r="T47" s="211" t="str">
        <f>IF(U47="","",VLOOKUP(U47,'PROGRAM JADWAL GENAP'!F$7:V$126,15,FALSE))</f>
        <v/>
      </c>
      <c r="U47" s="212"/>
      <c r="V47" s="212" t="str">
        <f>IF(U47="","",VLOOKUP(U47,'PROGRAM JADWAL GENAP'!F$7:V$126,4,FALSE))</f>
        <v/>
      </c>
      <c r="W47" s="213" t="str">
        <f>IF(U47="","",VLOOKUP(U47,'PROGRAM JADWAL GENAP'!F$7:V$126,8,FALSE))</f>
        <v/>
      </c>
      <c r="X47" s="213" t="str">
        <f>IF(U47="","",VLOOKUP(U47,'PROGRAM JADWAL GENAP'!F$7:V$126,9,FALSE))</f>
        <v/>
      </c>
      <c r="Y47" s="213" t="str">
        <f t="shared" si="10"/>
        <v/>
      </c>
      <c r="Z47" s="212" t="str">
        <f>IF(U47="","",VLOOKUP(U47,'PROGRAM JADWAL GENAP'!F$7:V$126,12,FALSE))</f>
        <v/>
      </c>
      <c r="AA47" s="217" t="str">
        <f>IF(U47="","",VLOOKUP(U47,'PROGRAM JADWAL GENAP'!F$7:V$126,10,FALSE))</f>
        <v/>
      </c>
      <c r="AB47" s="211" t="str">
        <f>IF(AD47="","",VLOOKUP(AD47,'PROGRAM JADWAL GENAP'!F$7:V$126,14,FALSE))</f>
        <v/>
      </c>
      <c r="AC47" s="211" t="str">
        <f>IF(AD47="","",VLOOKUP(AD47,'PROGRAM JADWAL GENAP'!F$7:V$126,15,FALSE))</f>
        <v/>
      </c>
      <c r="AD47" s="212"/>
      <c r="AE47" s="212" t="str">
        <f>IF(AD47="","",VLOOKUP(AD47,'PROGRAM JADWAL GENAP'!F$7:V$126,4,FALSE))</f>
        <v/>
      </c>
      <c r="AF47" s="213" t="str">
        <f>IF(AD47="","",VLOOKUP(AD47,'PROGRAM JADWAL GENAP'!F$7:V$126,8,FALSE))</f>
        <v/>
      </c>
      <c r="AG47" s="213" t="str">
        <f>IF(AD47="","",VLOOKUP(AD47,'PROGRAM JADWAL GENAP'!F$7:V$126,9,FALSE))</f>
        <v/>
      </c>
      <c r="AH47" s="213" t="str">
        <f t="shared" si="11"/>
        <v/>
      </c>
      <c r="AI47" s="212" t="str">
        <f>IF(AD47="","",VLOOKUP(AD47,'PROGRAM JADWAL GENAP'!F$7:V$126,12,FALSE))</f>
        <v/>
      </c>
      <c r="AJ47" s="217" t="str">
        <f>IF(AD47="","",VLOOKUP(AD47,'PROGRAM JADWAL GENAP'!F$7:V$126,10,FALSE))</f>
        <v/>
      </c>
    </row>
    <row r="48" spans="1:36" ht="45" customHeight="1" x14ac:dyDescent="0.3">
      <c r="A48" s="211" t="str">
        <f>IF(C48="","",VLOOKUP(C48,'PROGRAM JADWAL GENAP'!F$7:V$126,14,FALSE))</f>
        <v>Morteza Muthahhari, S.Kom., M.T.I / Fauzan Asrin, S.Kom, M. Kom.</v>
      </c>
      <c r="B48" s="211">
        <f>IF(C48="","",VLOOKUP(C48,'PROGRAM JADWAL GENAP'!F$7:V$126,15,FALSE))</f>
        <v>0</v>
      </c>
      <c r="C48" s="212" t="s">
        <v>529</v>
      </c>
      <c r="D48" s="212" t="str">
        <f>IF(C48="","",VLOOKUP(C48,'PROGRAM JADWAL GENAP'!F$7:V$126,4,FALSE))</f>
        <v>Struktur  Data  dan Algoritma*</v>
      </c>
      <c r="E48" s="213" t="str">
        <f>IF(C48="","",VLOOKUP(C48,'PROGRAM JADWAL GENAP'!F$7:V$126,8,FALSE))</f>
        <v>B</v>
      </c>
      <c r="F48" s="213">
        <f>IF(C48="","",VLOOKUP(C48,'PROGRAM JADWAL GENAP'!F$7:V$126,9,FALSE))</f>
        <v>2</v>
      </c>
      <c r="G48" s="213">
        <f t="shared" si="8"/>
        <v>2</v>
      </c>
      <c r="H48" s="212" t="str">
        <f>IF(C48="","",VLOOKUP(C48,'PROGRAM JADWAL GENAP'!F$7:V$126,12,FALSE))</f>
        <v>Morteza Muthahhari, S.Kom., M.T.I</v>
      </c>
      <c r="I48" s="217">
        <f>IF(C48="","",VLOOKUP(C48,'PROGRAM JADWAL GENAP'!F$7:V$126,10,FALSE))</f>
        <v>4</v>
      </c>
      <c r="J48" s="211" t="str">
        <f>IF(L48="","",VLOOKUP(L48,'PROGRAM JADWAL GENAP'!F$7:V$126,14,FALSE))</f>
        <v/>
      </c>
      <c r="K48" s="211" t="str">
        <f>IF(L48="","",VLOOKUP(L48,'PROGRAM JADWAL GENAP'!F$7:V$126,15,FALSE))</f>
        <v/>
      </c>
      <c r="L48" s="212"/>
      <c r="M48" s="212" t="str">
        <f>IF(L48="","",VLOOKUP(L48,'PROGRAM JADWAL GENAP'!F$7:V$126,4,FALSE))</f>
        <v/>
      </c>
      <c r="N48" s="213" t="str">
        <f>IF(L48="","",VLOOKUP(L48,'PROGRAM JADWAL GENAP'!F$7:V$126,8,FALSE))</f>
        <v/>
      </c>
      <c r="O48" s="213" t="str">
        <f>IF(L48="","",VLOOKUP(L48,'PROGRAM JADWAL GENAP'!F$7:V$126,9,FALSE))</f>
        <v/>
      </c>
      <c r="P48" s="213" t="str">
        <f t="shared" si="9"/>
        <v/>
      </c>
      <c r="Q48" s="212" t="str">
        <f>IF(L48="","",VLOOKUP(L48,'PROGRAM JADWAL GENAP'!F$7:V$126,12,FALSE))</f>
        <v/>
      </c>
      <c r="R48" s="217" t="str">
        <f>IF(L48="","",VLOOKUP(L48,'PROGRAM JADWAL GENAP'!F$7:V$126,10,FALSE))</f>
        <v/>
      </c>
      <c r="S48" s="211" t="str">
        <f>IF(U48="","",VLOOKUP(U48,'PROGRAM JADWAL GENAP'!F$7:V$126,14,FALSE))</f>
        <v/>
      </c>
      <c r="T48" s="211" t="str">
        <f>IF(U48="","",VLOOKUP(U48,'PROGRAM JADWAL GENAP'!F$7:V$126,15,FALSE))</f>
        <v/>
      </c>
      <c r="U48" s="212"/>
      <c r="V48" s="212" t="str">
        <f>IF(U48="","",VLOOKUP(U48,'PROGRAM JADWAL GENAP'!F$7:V$126,4,FALSE))</f>
        <v/>
      </c>
      <c r="W48" s="213" t="str">
        <f>IF(U48="","",VLOOKUP(U48,'PROGRAM JADWAL GENAP'!F$7:V$126,8,FALSE))</f>
        <v/>
      </c>
      <c r="X48" s="213" t="str">
        <f>IF(U48="","",VLOOKUP(U48,'PROGRAM JADWAL GENAP'!F$7:V$126,9,FALSE))</f>
        <v/>
      </c>
      <c r="Y48" s="213" t="str">
        <f t="shared" si="10"/>
        <v/>
      </c>
      <c r="Z48" s="212" t="str">
        <f>IF(U48="","",VLOOKUP(U48,'PROGRAM JADWAL GENAP'!F$7:V$126,12,FALSE))</f>
        <v/>
      </c>
      <c r="AA48" s="217" t="str">
        <f>IF(U48="","",VLOOKUP(U48,'PROGRAM JADWAL GENAP'!F$7:V$126,10,FALSE))</f>
        <v/>
      </c>
      <c r="AB48" s="211" t="str">
        <f>IF(AD48="","",VLOOKUP(AD48,'PROGRAM JADWAL GENAP'!F$7:V$126,14,FALSE))</f>
        <v/>
      </c>
      <c r="AC48" s="211" t="str">
        <f>IF(AD48="","",VLOOKUP(AD48,'PROGRAM JADWAL GENAP'!F$7:V$126,15,FALSE))</f>
        <v/>
      </c>
      <c r="AD48" s="212"/>
      <c r="AE48" s="212" t="str">
        <f>IF(AD48="","",VLOOKUP(AD48,'PROGRAM JADWAL GENAP'!F$7:V$126,4,FALSE))</f>
        <v/>
      </c>
      <c r="AF48" s="213" t="str">
        <f>IF(AD48="","",VLOOKUP(AD48,'PROGRAM JADWAL GENAP'!F$7:V$126,8,FALSE))</f>
        <v/>
      </c>
      <c r="AG48" s="213" t="str">
        <f>IF(AD48="","",VLOOKUP(AD48,'PROGRAM JADWAL GENAP'!F$7:V$126,9,FALSE))</f>
        <v/>
      </c>
      <c r="AH48" s="213" t="str">
        <f t="shared" si="11"/>
        <v/>
      </c>
      <c r="AI48" s="212" t="str">
        <f>IF(AD48="","",VLOOKUP(AD48,'PROGRAM JADWAL GENAP'!F$7:V$126,12,FALSE))</f>
        <v/>
      </c>
      <c r="AJ48" s="217" t="str">
        <f>IF(AD48="","",VLOOKUP(AD48,'PROGRAM JADWAL GENAP'!F$7:V$126,10,FALSE))</f>
        <v/>
      </c>
    </row>
    <row r="49" spans="1:36" ht="15.6" x14ac:dyDescent="0.3">
      <c r="A49" s="269" t="s">
        <v>328</v>
      </c>
      <c r="B49" s="269"/>
      <c r="C49" s="269"/>
      <c r="D49" s="269"/>
      <c r="E49" s="269"/>
      <c r="F49" s="269"/>
      <c r="G49" s="269"/>
      <c r="H49" s="269"/>
      <c r="J49" s="269" t="s">
        <v>328</v>
      </c>
      <c r="K49" s="269"/>
      <c r="L49" s="269"/>
      <c r="M49" s="269"/>
      <c r="N49" s="269"/>
      <c r="O49" s="269"/>
      <c r="P49" s="269"/>
      <c r="Q49" s="269"/>
      <c r="R49" s="217" t="str">
        <f>IF(L49="","",VLOOKUP(L49,'PROGRAM JADWAL GENAP'!F$7:V$126,10,FALSE))</f>
        <v/>
      </c>
      <c r="S49" s="269" t="s">
        <v>328</v>
      </c>
      <c r="T49" s="269"/>
      <c r="U49" s="269"/>
      <c r="V49" s="269"/>
      <c r="W49" s="269"/>
      <c r="X49" s="269"/>
      <c r="Y49" s="269"/>
      <c r="Z49" s="269"/>
      <c r="AA49" s="217" t="str">
        <f>IF(U49="","",VLOOKUP(U49,'PROGRAM JADWAL GENAP'!F$7:V$126,10,FALSE))</f>
        <v/>
      </c>
      <c r="AB49" s="269" t="s">
        <v>328</v>
      </c>
      <c r="AC49" s="269"/>
      <c r="AD49" s="269"/>
      <c r="AE49" s="269"/>
      <c r="AF49" s="269"/>
      <c r="AG49" s="269"/>
      <c r="AH49" s="269"/>
      <c r="AI49" s="269"/>
      <c r="AJ49" s="217" t="str">
        <f>IF(AD49="","",VLOOKUP(AD49,'PROGRAM JADWAL GENAP'!F$7:V$126,10,FALSE))</f>
        <v/>
      </c>
    </row>
    <row r="50" spans="1:36" ht="15.6" x14ac:dyDescent="0.3">
      <c r="A50" s="207" t="s">
        <v>536</v>
      </c>
      <c r="B50" s="207" t="s">
        <v>537</v>
      </c>
      <c r="C50" s="207" t="s">
        <v>538</v>
      </c>
      <c r="D50" s="207" t="s">
        <v>540</v>
      </c>
      <c r="E50" s="209" t="s">
        <v>150</v>
      </c>
      <c r="F50" s="209" t="s">
        <v>175</v>
      </c>
      <c r="G50" s="209" t="s">
        <v>83</v>
      </c>
      <c r="H50" s="207" t="s">
        <v>539</v>
      </c>
      <c r="J50" s="207" t="s">
        <v>536</v>
      </c>
      <c r="K50" s="207" t="s">
        <v>537</v>
      </c>
      <c r="L50" s="207" t="s">
        <v>538</v>
      </c>
      <c r="M50" s="207" t="s">
        <v>540</v>
      </c>
      <c r="N50" s="209" t="s">
        <v>150</v>
      </c>
      <c r="O50" s="209" t="s">
        <v>175</v>
      </c>
      <c r="P50" s="209" t="s">
        <v>83</v>
      </c>
      <c r="Q50" s="207" t="s">
        <v>539</v>
      </c>
      <c r="R50" s="217" t="e">
        <f>IF(L50="","",VLOOKUP(L50,'PROGRAM JADWAL GENAP'!F$7:V$126,10,FALSE))</f>
        <v>#N/A</v>
      </c>
      <c r="S50" s="207" t="s">
        <v>536</v>
      </c>
      <c r="T50" s="207" t="s">
        <v>537</v>
      </c>
      <c r="U50" s="207" t="s">
        <v>538</v>
      </c>
      <c r="V50" s="207" t="s">
        <v>540</v>
      </c>
      <c r="W50" s="209" t="s">
        <v>150</v>
      </c>
      <c r="X50" s="209" t="s">
        <v>175</v>
      </c>
      <c r="Y50" s="209" t="s">
        <v>83</v>
      </c>
      <c r="Z50" s="207" t="s">
        <v>539</v>
      </c>
      <c r="AA50" s="217" t="e">
        <f>IF(U50="","",VLOOKUP(U50,'PROGRAM JADWAL GENAP'!F$7:V$126,10,FALSE))</f>
        <v>#N/A</v>
      </c>
      <c r="AB50" s="207" t="s">
        <v>536</v>
      </c>
      <c r="AC50" s="207" t="s">
        <v>537</v>
      </c>
      <c r="AD50" s="207" t="s">
        <v>538</v>
      </c>
      <c r="AE50" s="207" t="s">
        <v>540</v>
      </c>
      <c r="AF50" s="209" t="s">
        <v>150</v>
      </c>
      <c r="AG50" s="209" t="s">
        <v>175</v>
      </c>
      <c r="AH50" s="209" t="s">
        <v>83</v>
      </c>
      <c r="AI50" s="207" t="s">
        <v>539</v>
      </c>
      <c r="AJ50" s="217" t="e">
        <f>IF(AD50="","",VLOOKUP(AD50,'PROGRAM JADWAL GENAP'!F$7:V$126,10,FALSE))</f>
        <v>#N/A</v>
      </c>
    </row>
    <row r="51" spans="1:36" ht="45" customHeight="1" x14ac:dyDescent="0.3">
      <c r="A51" s="211" t="str">
        <f>IF(C51="","",VLOOKUP(C51,'PROGRAM JADWAL GENAP'!F$7:V$126,14,FALSE))</f>
        <v/>
      </c>
      <c r="B51" s="211" t="str">
        <f>IF(C51="","",VLOOKUP(C51,'PROGRAM JADWAL GENAP'!F$7:V$126,15,FALSE))</f>
        <v/>
      </c>
      <c r="C51" s="212"/>
      <c r="D51" s="212" t="str">
        <f>IF(C51="","",VLOOKUP(C51,'PROGRAM JADWAL GENAP'!F$7:V$126,4,FALSE))</f>
        <v/>
      </c>
      <c r="E51" s="213" t="str">
        <f>IF(C51="","",VLOOKUP(C51,'PROGRAM JADWAL GENAP'!F$7:V$126,8,FALSE))</f>
        <v/>
      </c>
      <c r="F51" s="213" t="str">
        <f>IF(C51="","",VLOOKUP(C51,'PROGRAM JADWAL GENAP'!F$7:V$126,9,FALSE))</f>
        <v/>
      </c>
      <c r="G51" s="213" t="str">
        <f>IF(I51=4,2,I51)</f>
        <v/>
      </c>
      <c r="H51" s="212" t="str">
        <f>IF(C51="","",VLOOKUP(C51,'PROGRAM JADWAL GENAP'!F$7:V$126,12,FALSE))</f>
        <v/>
      </c>
      <c r="I51" s="217" t="str">
        <f>IF(C51="","",VLOOKUP(C51,'PROGRAM JADWAL GENAP'!F$7:V$126,10,FALSE))</f>
        <v/>
      </c>
      <c r="J51" s="211" t="str">
        <f>IF(L51="","",VLOOKUP(L51,'PROGRAM JADWAL GENAP'!F$7:V$126,14,FALSE))</f>
        <v/>
      </c>
      <c r="K51" s="211" t="str">
        <f>IF(L51="","",VLOOKUP(L51,'PROGRAM JADWAL GENAP'!F$7:V$126,15,FALSE))</f>
        <v/>
      </c>
      <c r="L51" s="212"/>
      <c r="M51" s="212" t="str">
        <f>IF(L51="","",VLOOKUP(L51,'PROGRAM JADWAL GENAP'!F$7:V$126,4,FALSE))</f>
        <v/>
      </c>
      <c r="N51" s="213" t="str">
        <f>IF(L51="","",VLOOKUP(L51,'PROGRAM JADWAL GENAP'!F$7:V$126,8,FALSE))</f>
        <v/>
      </c>
      <c r="O51" s="213" t="str">
        <f>IF(L51="","",VLOOKUP(L51,'PROGRAM JADWAL GENAP'!F$7:V$126,9,FALSE))</f>
        <v/>
      </c>
      <c r="P51" s="213" t="str">
        <f>IF(R51=4,2,R51)</f>
        <v/>
      </c>
      <c r="Q51" s="212" t="str">
        <f>IF(L51="","",VLOOKUP(L51,'PROGRAM JADWAL GENAP'!F$7:V$126,12,FALSE))</f>
        <v/>
      </c>
      <c r="R51" s="217" t="str">
        <f>IF(L51="","",VLOOKUP(L51,'PROGRAM JADWAL GENAP'!F$7:V$126,10,FALSE))</f>
        <v/>
      </c>
      <c r="S51" s="211" t="str">
        <f>IF(U51="","",VLOOKUP(U51,'PROGRAM JADWAL GENAP'!F$7:V$126,14,FALSE))</f>
        <v/>
      </c>
      <c r="T51" s="211" t="str">
        <f>IF(U51="","",VLOOKUP(U51,'PROGRAM JADWAL GENAP'!F$7:V$126,15,FALSE))</f>
        <v/>
      </c>
      <c r="U51" s="212"/>
      <c r="V51" s="212" t="str">
        <f>IF(U51="","",VLOOKUP(U51,'PROGRAM JADWAL GENAP'!F$7:V$126,4,FALSE))</f>
        <v/>
      </c>
      <c r="W51" s="213" t="str">
        <f>IF(U51="","",VLOOKUP(U51,'PROGRAM JADWAL GENAP'!F$7:V$126,8,FALSE))</f>
        <v/>
      </c>
      <c r="X51" s="213" t="str">
        <f>IF(U51="","",VLOOKUP(U51,'PROGRAM JADWAL GENAP'!F$7:V$126,9,FALSE))</f>
        <v/>
      </c>
      <c r="Y51" s="213" t="str">
        <f>IF(AA51=4,2,AA51)</f>
        <v/>
      </c>
      <c r="Z51" s="212" t="str">
        <f>IF(U51="","",VLOOKUP(U51,'PROGRAM JADWAL GENAP'!F$7:V$126,12,FALSE))</f>
        <v/>
      </c>
      <c r="AA51" s="217" t="str">
        <f>IF(U51="","",VLOOKUP(U51,'PROGRAM JADWAL GENAP'!F$7:V$126,10,FALSE))</f>
        <v/>
      </c>
      <c r="AB51" s="211" t="str">
        <f>IF(AD51="","",VLOOKUP(AD51,'PROGRAM JADWAL GENAP'!F$7:V$126,14,FALSE))</f>
        <v/>
      </c>
      <c r="AC51" s="211" t="str">
        <f>IF(AD51="","",VLOOKUP(AD51,'PROGRAM JADWAL GENAP'!F$7:V$126,15,FALSE))</f>
        <v/>
      </c>
      <c r="AD51" s="212"/>
      <c r="AE51" s="212" t="str">
        <f>IF(AD51="","",VLOOKUP(AD51,'PROGRAM JADWAL GENAP'!F$7:V$126,4,FALSE))</f>
        <v/>
      </c>
      <c r="AF51" s="213" t="str">
        <f>IF(AD51="","",VLOOKUP(AD51,'PROGRAM JADWAL GENAP'!F$7:V$126,8,FALSE))</f>
        <v/>
      </c>
      <c r="AG51" s="213" t="str">
        <f>IF(AD51="","",VLOOKUP(AD51,'PROGRAM JADWAL GENAP'!F$7:V$126,9,FALSE))</f>
        <v/>
      </c>
      <c r="AH51" s="213" t="str">
        <f>IF(AJ51=4,2,AJ51)</f>
        <v/>
      </c>
      <c r="AI51" s="212" t="str">
        <f>IF(AD51="","",VLOOKUP(AD51,'PROGRAM JADWAL GENAP'!F$7:V$126,12,FALSE))</f>
        <v/>
      </c>
      <c r="AJ51" s="217" t="str">
        <f>IF(AD51="","",VLOOKUP(AD51,'PROGRAM JADWAL GENAP'!F$7:V$126,10,FALSE))</f>
        <v/>
      </c>
    </row>
    <row r="52" spans="1:36" ht="45" customHeight="1" x14ac:dyDescent="0.3">
      <c r="A52" s="211" t="str">
        <f>IF(C52="","",VLOOKUP(C52,'PROGRAM JADWAL GENAP'!F$7:V$126,14,FALSE))</f>
        <v/>
      </c>
      <c r="B52" s="211" t="str">
        <f>IF(C52="","",VLOOKUP(C52,'PROGRAM JADWAL GENAP'!F$7:V$126,15,FALSE))</f>
        <v/>
      </c>
      <c r="C52" s="212"/>
      <c r="D52" s="212" t="str">
        <f>IF(C52="","",VLOOKUP(C52,'PROGRAM JADWAL GENAP'!F$7:V$126,4,FALSE))</f>
        <v/>
      </c>
      <c r="E52" s="213" t="str">
        <f>IF(C52="","",VLOOKUP(C52,'PROGRAM JADWAL GENAP'!F$7:V$126,8,FALSE))</f>
        <v/>
      </c>
      <c r="F52" s="213" t="str">
        <f>IF(C52="","",VLOOKUP(C52,'PROGRAM JADWAL GENAP'!F$7:V$126,9,FALSE))</f>
        <v/>
      </c>
      <c r="G52" s="213" t="str">
        <f t="shared" ref="G52:G54" si="12">IF(I52=4,2,I52)</f>
        <v/>
      </c>
      <c r="H52" s="212" t="str">
        <f>IF(C52="","",VLOOKUP(C52,'PROGRAM JADWAL GENAP'!F$7:V$126,12,FALSE))</f>
        <v/>
      </c>
      <c r="I52" s="217" t="str">
        <f>IF(C52="","",VLOOKUP(C52,'PROGRAM JADWAL GENAP'!F$7:V$126,10,FALSE))</f>
        <v/>
      </c>
      <c r="J52" s="211" t="str">
        <f>IF(L52="","",VLOOKUP(L52,'PROGRAM JADWAL GENAP'!F$7:V$126,14,FALSE))</f>
        <v/>
      </c>
      <c r="K52" s="211" t="str">
        <f>IF(L52="","",VLOOKUP(L52,'PROGRAM JADWAL GENAP'!F$7:V$126,15,FALSE))</f>
        <v/>
      </c>
      <c r="L52" s="212"/>
      <c r="M52" s="212" t="str">
        <f>IF(L52="","",VLOOKUP(L52,'PROGRAM JADWAL GENAP'!F$7:V$126,4,FALSE))</f>
        <v/>
      </c>
      <c r="N52" s="213" t="str">
        <f>IF(L52="","",VLOOKUP(L52,'PROGRAM JADWAL GENAP'!F$7:V$126,8,FALSE))</f>
        <v/>
      </c>
      <c r="O52" s="213" t="str">
        <f>IF(L52="","",VLOOKUP(L52,'PROGRAM JADWAL GENAP'!F$7:V$126,9,FALSE))</f>
        <v/>
      </c>
      <c r="P52" s="213" t="str">
        <f t="shared" ref="P52:P54" si="13">IF(R52=4,2,R52)</f>
        <v/>
      </c>
      <c r="Q52" s="212" t="str">
        <f>IF(L52="","",VLOOKUP(L52,'PROGRAM JADWAL GENAP'!F$7:V$126,12,FALSE))</f>
        <v/>
      </c>
      <c r="R52" s="217" t="str">
        <f>IF(L52="","",VLOOKUP(L52,'PROGRAM JADWAL GENAP'!F$7:V$126,10,FALSE))</f>
        <v/>
      </c>
      <c r="S52" s="211" t="str">
        <f>IF(U52="","",VLOOKUP(U52,'PROGRAM JADWAL GENAP'!F$7:V$126,14,FALSE))</f>
        <v/>
      </c>
      <c r="T52" s="211" t="str">
        <f>IF(U52="","",VLOOKUP(U52,'PROGRAM JADWAL GENAP'!F$7:V$126,15,FALSE))</f>
        <v/>
      </c>
      <c r="U52" s="212"/>
      <c r="V52" s="212" t="str">
        <f>IF(U52="","",VLOOKUP(U52,'PROGRAM JADWAL GENAP'!F$7:V$126,4,FALSE))</f>
        <v/>
      </c>
      <c r="W52" s="213" t="str">
        <f>IF(U52="","",VLOOKUP(U52,'PROGRAM JADWAL GENAP'!F$7:V$126,8,FALSE))</f>
        <v/>
      </c>
      <c r="X52" s="213" t="str">
        <f>IF(U52="","",VLOOKUP(U52,'PROGRAM JADWAL GENAP'!F$7:V$126,9,FALSE))</f>
        <v/>
      </c>
      <c r="Y52" s="213" t="str">
        <f t="shared" ref="Y52:Y54" si="14">IF(AA52=4,2,AA52)</f>
        <v/>
      </c>
      <c r="Z52" s="212" t="str">
        <f>IF(U52="","",VLOOKUP(U52,'PROGRAM JADWAL GENAP'!F$7:V$126,12,FALSE))</f>
        <v/>
      </c>
      <c r="AA52" s="217" t="str">
        <f>IF(U52="","",VLOOKUP(U52,'PROGRAM JADWAL GENAP'!F$7:V$126,10,FALSE))</f>
        <v/>
      </c>
      <c r="AB52" s="211" t="str">
        <f>IF(AD52="","",VLOOKUP(AD52,'PROGRAM JADWAL GENAP'!F$7:V$126,14,FALSE))</f>
        <v/>
      </c>
      <c r="AC52" s="211" t="str">
        <f>IF(AD52="","",VLOOKUP(AD52,'PROGRAM JADWAL GENAP'!F$7:V$126,15,FALSE))</f>
        <v/>
      </c>
      <c r="AD52" s="212"/>
      <c r="AE52" s="212" t="str">
        <f>IF(AD52="","",VLOOKUP(AD52,'PROGRAM JADWAL GENAP'!F$7:V$126,4,FALSE))</f>
        <v/>
      </c>
      <c r="AF52" s="213" t="str">
        <f>IF(AD52="","",VLOOKUP(AD52,'PROGRAM JADWAL GENAP'!F$7:V$126,8,FALSE))</f>
        <v/>
      </c>
      <c r="AG52" s="213" t="str">
        <f>IF(AD52="","",VLOOKUP(AD52,'PROGRAM JADWAL GENAP'!F$7:V$126,9,FALSE))</f>
        <v/>
      </c>
      <c r="AH52" s="213" t="str">
        <f t="shared" ref="AH52:AH54" si="15">IF(AJ52=4,2,AJ52)</f>
        <v/>
      </c>
      <c r="AI52" s="212" t="str">
        <f>IF(AD52="","",VLOOKUP(AD52,'PROGRAM JADWAL GENAP'!F$7:V$126,12,FALSE))</f>
        <v/>
      </c>
      <c r="AJ52" s="217" t="str">
        <f>IF(AD52="","",VLOOKUP(AD52,'PROGRAM JADWAL GENAP'!F$7:V$126,10,FALSE))</f>
        <v/>
      </c>
    </row>
    <row r="53" spans="1:36" ht="45" customHeight="1" x14ac:dyDescent="0.3">
      <c r="A53" s="211" t="str">
        <f>IF(C53="","",VLOOKUP(C53,'PROGRAM JADWAL GENAP'!F$7:V$126,14,FALSE))</f>
        <v/>
      </c>
      <c r="B53" s="211" t="str">
        <f>IF(C53="","",VLOOKUP(C53,'PROGRAM JADWAL GENAP'!F$7:V$126,15,FALSE))</f>
        <v/>
      </c>
      <c r="C53" s="212"/>
      <c r="D53" s="212" t="str">
        <f>IF(C53="","",VLOOKUP(C53,'PROGRAM JADWAL GENAP'!F$7:V$126,4,FALSE))</f>
        <v/>
      </c>
      <c r="E53" s="213" t="str">
        <f>IF(C53="","",VLOOKUP(C53,'PROGRAM JADWAL GENAP'!F$7:V$126,8,FALSE))</f>
        <v/>
      </c>
      <c r="F53" s="213" t="str">
        <f>IF(C53="","",VLOOKUP(C53,'PROGRAM JADWAL GENAP'!F$7:V$126,9,FALSE))</f>
        <v/>
      </c>
      <c r="G53" s="213" t="str">
        <f t="shared" si="12"/>
        <v/>
      </c>
      <c r="H53" s="212" t="str">
        <f>IF(C53="","",VLOOKUP(C53,'PROGRAM JADWAL GENAP'!F$7:V$126,12,FALSE))</f>
        <v/>
      </c>
      <c r="I53" s="217" t="str">
        <f>IF(C53="","",VLOOKUP(C53,'PROGRAM JADWAL GENAP'!F$7:V$126,10,FALSE))</f>
        <v/>
      </c>
      <c r="J53" s="211" t="str">
        <f>IF(L53="","",VLOOKUP(L53,'PROGRAM JADWAL GENAP'!F$7:V$126,14,FALSE))</f>
        <v>Morteza Muthahhari, S.Kom., M.T.I / Fauzan Asrin, S.Kom, M. Kom.</v>
      </c>
      <c r="K53" s="211">
        <f>IF(L53="","",VLOOKUP(L53,'PROGRAM JADWAL GENAP'!F$7:V$126,15,FALSE))</f>
        <v>0</v>
      </c>
      <c r="L53" s="212" t="s">
        <v>514</v>
      </c>
      <c r="M53" s="212" t="str">
        <f>IF(L53="","",VLOOKUP(L53,'PROGRAM JADWAL GENAP'!F$7:V$126,4,FALSE))</f>
        <v>Struktur  Data  dan Algoritma*</v>
      </c>
      <c r="N53" s="213" t="str">
        <f>IF(L53="","",VLOOKUP(L53,'PROGRAM JADWAL GENAP'!F$7:V$126,8,FALSE))</f>
        <v>A</v>
      </c>
      <c r="O53" s="213">
        <f>IF(L53="","",VLOOKUP(L53,'PROGRAM JADWAL GENAP'!F$7:V$126,9,FALSE))</f>
        <v>2</v>
      </c>
      <c r="P53" s="213">
        <f t="shared" si="13"/>
        <v>2</v>
      </c>
      <c r="Q53" s="212" t="str">
        <f>IF(L53="","",VLOOKUP(L53,'PROGRAM JADWAL GENAP'!F$7:V$126,12,FALSE))</f>
        <v>Morteza Muthahhari, S.Kom., M.T.I</v>
      </c>
      <c r="R53" s="217">
        <f>IF(L53="","",VLOOKUP(L53,'PROGRAM JADWAL GENAP'!F$7:V$126,10,FALSE))</f>
        <v>4</v>
      </c>
      <c r="S53" s="211" t="str">
        <f>IF(U53="","",VLOOKUP(U53,'PROGRAM JADWAL GENAP'!F$7:V$126,14,FALSE))</f>
        <v/>
      </c>
      <c r="T53" s="211" t="str">
        <f>IF(U53="","",VLOOKUP(U53,'PROGRAM JADWAL GENAP'!F$7:V$126,15,FALSE))</f>
        <v/>
      </c>
      <c r="U53" s="212"/>
      <c r="V53" s="212" t="str">
        <f>IF(U53="","",VLOOKUP(U53,'PROGRAM JADWAL GENAP'!F$7:V$126,4,FALSE))</f>
        <v/>
      </c>
      <c r="W53" s="213" t="str">
        <f>IF(U53="","",VLOOKUP(U53,'PROGRAM JADWAL GENAP'!F$7:V$126,8,FALSE))</f>
        <v/>
      </c>
      <c r="X53" s="213" t="str">
        <f>IF(U53="","",VLOOKUP(U53,'PROGRAM JADWAL GENAP'!F$7:V$126,9,FALSE))</f>
        <v/>
      </c>
      <c r="Y53" s="213" t="str">
        <f t="shared" si="14"/>
        <v/>
      </c>
      <c r="Z53" s="212" t="str">
        <f>IF(U53="","",VLOOKUP(U53,'PROGRAM JADWAL GENAP'!F$7:V$126,12,FALSE))</f>
        <v/>
      </c>
      <c r="AA53" s="217" t="str">
        <f>IF(U53="","",VLOOKUP(U53,'PROGRAM JADWAL GENAP'!F$7:V$126,10,FALSE))</f>
        <v/>
      </c>
      <c r="AB53" s="211" t="str">
        <f>IF(AD53="","",VLOOKUP(AD53,'PROGRAM JADWAL GENAP'!F$7:V$126,14,FALSE))</f>
        <v/>
      </c>
      <c r="AC53" s="211" t="str">
        <f>IF(AD53="","",VLOOKUP(AD53,'PROGRAM JADWAL GENAP'!F$7:V$126,15,FALSE))</f>
        <v/>
      </c>
      <c r="AD53" s="212"/>
      <c r="AE53" s="212" t="str">
        <f>IF(AD53="","",VLOOKUP(AD53,'PROGRAM JADWAL GENAP'!F$7:V$126,4,FALSE))</f>
        <v/>
      </c>
      <c r="AF53" s="213" t="str">
        <f>IF(AD53="","",VLOOKUP(AD53,'PROGRAM JADWAL GENAP'!F$7:V$126,8,FALSE))</f>
        <v/>
      </c>
      <c r="AG53" s="213" t="str">
        <f>IF(AD53="","",VLOOKUP(AD53,'PROGRAM JADWAL GENAP'!F$7:V$126,9,FALSE))</f>
        <v/>
      </c>
      <c r="AH53" s="213" t="str">
        <f t="shared" si="15"/>
        <v/>
      </c>
      <c r="AI53" s="212" t="str">
        <f>IF(AD53="","",VLOOKUP(AD53,'PROGRAM JADWAL GENAP'!F$7:V$126,12,FALSE))</f>
        <v/>
      </c>
      <c r="AJ53" s="217" t="str">
        <f>IF(AD53="","",VLOOKUP(AD53,'PROGRAM JADWAL GENAP'!F$7:V$126,10,FALSE))</f>
        <v/>
      </c>
    </row>
    <row r="54" spans="1:36" ht="45" customHeight="1" x14ac:dyDescent="0.3">
      <c r="A54" s="211" t="str">
        <f>IF(C54="","",VLOOKUP(C54,'PROGRAM JADWAL GENAP'!F$7:V$126,14,FALSE))</f>
        <v/>
      </c>
      <c r="B54" s="211" t="str">
        <f>IF(C54="","",VLOOKUP(C54,'PROGRAM JADWAL GENAP'!F$7:V$126,15,FALSE))</f>
        <v/>
      </c>
      <c r="C54" s="212"/>
      <c r="D54" s="212" t="str">
        <f>IF(C54="","",VLOOKUP(C54,'PROGRAM JADWAL GENAP'!F$7:V$126,4,FALSE))</f>
        <v/>
      </c>
      <c r="E54" s="213" t="str">
        <f>IF(C54="","",VLOOKUP(C54,'PROGRAM JADWAL GENAP'!F$7:V$126,8,FALSE))</f>
        <v/>
      </c>
      <c r="F54" s="213" t="str">
        <f>IF(C54="","",VLOOKUP(C54,'PROGRAM JADWAL GENAP'!F$7:V$126,9,FALSE))</f>
        <v/>
      </c>
      <c r="G54" s="213" t="str">
        <f t="shared" si="12"/>
        <v/>
      </c>
      <c r="H54" s="212" t="str">
        <f>IF(C54="","",VLOOKUP(C54,'PROGRAM JADWAL GENAP'!F$7:V$126,12,FALSE))</f>
        <v/>
      </c>
      <c r="I54" s="217" t="str">
        <f>IF(C54="","",VLOOKUP(C54,'PROGRAM JADWAL GENAP'!F$7:V$126,10,FALSE))</f>
        <v/>
      </c>
      <c r="J54" s="211" t="str">
        <f>IF(L54="","",VLOOKUP(L54,'PROGRAM JADWAL GENAP'!F$7:V$126,14,FALSE))</f>
        <v/>
      </c>
      <c r="K54" s="211" t="str">
        <f>IF(L54="","",VLOOKUP(L54,'PROGRAM JADWAL GENAP'!F$7:V$126,15,FALSE))</f>
        <v/>
      </c>
      <c r="L54" s="212"/>
      <c r="M54" s="212" t="str">
        <f>IF(L54="","",VLOOKUP(L54,'PROGRAM JADWAL GENAP'!F$7:V$126,4,FALSE))</f>
        <v/>
      </c>
      <c r="N54" s="213" t="str">
        <f>IF(L54="","",VLOOKUP(L54,'PROGRAM JADWAL GENAP'!F$7:V$126,8,FALSE))</f>
        <v/>
      </c>
      <c r="O54" s="213" t="str">
        <f>IF(L54="","",VLOOKUP(L54,'PROGRAM JADWAL GENAP'!F$7:V$126,9,FALSE))</f>
        <v/>
      </c>
      <c r="P54" s="213" t="str">
        <f t="shared" si="13"/>
        <v/>
      </c>
      <c r="Q54" s="212" t="str">
        <f>IF(L54="","",VLOOKUP(L54,'PROGRAM JADWAL GENAP'!F$7:V$126,12,FALSE))</f>
        <v/>
      </c>
      <c r="R54" s="217" t="str">
        <f>IF(L54="","",VLOOKUP(L54,'PROGRAM JADWAL GENAP'!F$7:V$126,10,FALSE))</f>
        <v/>
      </c>
      <c r="S54" s="211" t="str">
        <f>IF(U54="","",VLOOKUP(U54,'PROGRAM JADWAL GENAP'!F$7:V$126,14,FALSE))</f>
        <v/>
      </c>
      <c r="T54" s="211" t="str">
        <f>IF(U54="","",VLOOKUP(U54,'PROGRAM JADWAL GENAP'!F$7:V$126,15,FALSE))</f>
        <v/>
      </c>
      <c r="U54" s="212"/>
      <c r="V54" s="212" t="str">
        <f>IF(U54="","",VLOOKUP(U54,'PROGRAM JADWAL GENAP'!F$7:V$126,4,FALSE))</f>
        <v/>
      </c>
      <c r="W54" s="213" t="str">
        <f>IF(U54="","",VLOOKUP(U54,'PROGRAM JADWAL GENAP'!F$7:V$126,8,FALSE))</f>
        <v/>
      </c>
      <c r="X54" s="213" t="str">
        <f>IF(U54="","",VLOOKUP(U54,'PROGRAM JADWAL GENAP'!F$7:V$126,9,FALSE))</f>
        <v/>
      </c>
      <c r="Y54" s="213" t="str">
        <f t="shared" si="14"/>
        <v/>
      </c>
      <c r="Z54" s="212" t="str">
        <f>IF(U54="","",VLOOKUP(U54,'PROGRAM JADWAL GENAP'!F$7:V$126,12,FALSE))</f>
        <v/>
      </c>
      <c r="AA54" s="217" t="str">
        <f>IF(U54="","",VLOOKUP(U54,'PROGRAM JADWAL GENAP'!F$7:V$126,10,FALSE))</f>
        <v/>
      </c>
      <c r="AB54" s="211" t="str">
        <f>IF(AD54="","",VLOOKUP(AD54,'PROGRAM JADWAL GENAP'!F$7:V$126,14,FALSE))</f>
        <v/>
      </c>
      <c r="AC54" s="211" t="str">
        <f>IF(AD54="","",VLOOKUP(AD54,'PROGRAM JADWAL GENAP'!F$7:V$126,15,FALSE))</f>
        <v/>
      </c>
      <c r="AD54" s="212"/>
      <c r="AE54" s="212" t="str">
        <f>IF(AD54="","",VLOOKUP(AD54,'PROGRAM JADWAL GENAP'!F$7:V$126,4,FALSE))</f>
        <v/>
      </c>
      <c r="AF54" s="213" t="str">
        <f>IF(AD54="","",VLOOKUP(AD54,'PROGRAM JADWAL GENAP'!F$7:V$126,8,FALSE))</f>
        <v/>
      </c>
      <c r="AG54" s="213" t="str">
        <f>IF(AD54="","",VLOOKUP(AD54,'PROGRAM JADWAL GENAP'!F$7:V$126,9,FALSE))</f>
        <v/>
      </c>
      <c r="AH54" s="213" t="str">
        <f t="shared" si="15"/>
        <v/>
      </c>
      <c r="AI54" s="212" t="str">
        <f>IF(AD54="","",VLOOKUP(AD54,'PROGRAM JADWAL GENAP'!F$7:V$126,12,FALSE))</f>
        <v/>
      </c>
      <c r="AJ54" s="217" t="str">
        <f>IF(AD54="","",VLOOKUP(AD54,'PROGRAM JADWAL GENAP'!F$7:V$126,10,FALSE))</f>
        <v/>
      </c>
    </row>
    <row r="55" spans="1:36" ht="15.6" x14ac:dyDescent="0.3">
      <c r="A55" s="269" t="s">
        <v>329</v>
      </c>
      <c r="B55" s="269"/>
      <c r="C55" s="269"/>
      <c r="D55" s="269"/>
      <c r="E55" s="269"/>
      <c r="F55" s="269"/>
      <c r="G55" s="269"/>
      <c r="H55" s="269"/>
      <c r="J55" s="269" t="s">
        <v>329</v>
      </c>
      <c r="K55" s="269"/>
      <c r="L55" s="269"/>
      <c r="M55" s="269"/>
      <c r="N55" s="269"/>
      <c r="O55" s="269"/>
      <c r="P55" s="269"/>
      <c r="Q55" s="269"/>
      <c r="R55" s="217" t="str">
        <f>IF(L55="","",VLOOKUP(L55,'PROGRAM JADWAL GENAP'!F$7:V$126,10,FALSE))</f>
        <v/>
      </c>
      <c r="S55" s="269" t="s">
        <v>329</v>
      </c>
      <c r="T55" s="269"/>
      <c r="U55" s="269"/>
      <c r="V55" s="269"/>
      <c r="W55" s="269"/>
      <c r="X55" s="269"/>
      <c r="Y55" s="269"/>
      <c r="Z55" s="269"/>
      <c r="AA55" s="217" t="str">
        <f>IF(U55="","",VLOOKUP(U55,'PROGRAM JADWAL GENAP'!F$7:V$126,10,FALSE))</f>
        <v/>
      </c>
      <c r="AB55" s="269" t="s">
        <v>329</v>
      </c>
      <c r="AC55" s="269"/>
      <c r="AD55" s="269"/>
      <c r="AE55" s="269"/>
      <c r="AF55" s="269"/>
      <c r="AG55" s="269"/>
      <c r="AH55" s="269"/>
      <c r="AI55" s="269"/>
      <c r="AJ55" s="217" t="str">
        <f>IF(AD55="","",VLOOKUP(AD55,'PROGRAM JADWAL GENAP'!F$7:V$126,10,FALSE))</f>
        <v/>
      </c>
    </row>
    <row r="56" spans="1:36" ht="15.6" x14ac:dyDescent="0.3">
      <c r="A56" s="207" t="s">
        <v>536</v>
      </c>
      <c r="B56" s="207" t="s">
        <v>537</v>
      </c>
      <c r="C56" s="207" t="s">
        <v>538</v>
      </c>
      <c r="D56" s="207" t="s">
        <v>540</v>
      </c>
      <c r="E56" s="209" t="s">
        <v>150</v>
      </c>
      <c r="F56" s="209" t="s">
        <v>175</v>
      </c>
      <c r="G56" s="209" t="s">
        <v>83</v>
      </c>
      <c r="H56" s="207" t="s">
        <v>539</v>
      </c>
      <c r="J56" s="207" t="s">
        <v>536</v>
      </c>
      <c r="K56" s="207" t="s">
        <v>537</v>
      </c>
      <c r="L56" s="207" t="s">
        <v>538</v>
      </c>
      <c r="M56" s="207" t="s">
        <v>540</v>
      </c>
      <c r="N56" s="209" t="s">
        <v>150</v>
      </c>
      <c r="O56" s="209" t="s">
        <v>175</v>
      </c>
      <c r="P56" s="209" t="s">
        <v>83</v>
      </c>
      <c r="Q56" s="207" t="s">
        <v>539</v>
      </c>
      <c r="R56" s="217" t="e">
        <f>IF(L56="","",VLOOKUP(L56,'PROGRAM JADWAL GENAP'!F$7:V$126,10,FALSE))</f>
        <v>#N/A</v>
      </c>
      <c r="S56" s="207" t="s">
        <v>536</v>
      </c>
      <c r="T56" s="207" t="s">
        <v>537</v>
      </c>
      <c r="U56" s="207" t="s">
        <v>538</v>
      </c>
      <c r="V56" s="207" t="s">
        <v>540</v>
      </c>
      <c r="W56" s="209" t="s">
        <v>150</v>
      </c>
      <c r="X56" s="209" t="s">
        <v>175</v>
      </c>
      <c r="Y56" s="209" t="s">
        <v>83</v>
      </c>
      <c r="Z56" s="207" t="s">
        <v>539</v>
      </c>
      <c r="AA56" s="217" t="e">
        <f>IF(U56="","",VLOOKUP(U56,'PROGRAM JADWAL GENAP'!F$7:V$126,10,FALSE))</f>
        <v>#N/A</v>
      </c>
      <c r="AB56" s="207" t="s">
        <v>536</v>
      </c>
      <c r="AC56" s="207" t="s">
        <v>537</v>
      </c>
      <c r="AD56" s="207" t="s">
        <v>538</v>
      </c>
      <c r="AE56" s="207" t="s">
        <v>540</v>
      </c>
      <c r="AF56" s="209" t="s">
        <v>150</v>
      </c>
      <c r="AG56" s="209" t="s">
        <v>175</v>
      </c>
      <c r="AH56" s="209" t="s">
        <v>83</v>
      </c>
      <c r="AI56" s="207" t="s">
        <v>539</v>
      </c>
      <c r="AJ56" s="217" t="e">
        <f>IF(AD56="","",VLOOKUP(AD56,'PROGRAM JADWAL GENAP'!F$7:V$126,10,FALSE))</f>
        <v>#N/A</v>
      </c>
    </row>
    <row r="57" spans="1:36" ht="45" customHeight="1" x14ac:dyDescent="0.3">
      <c r="A57" s="211" t="str">
        <f>IF(C57="","",VLOOKUP(C57,'PROGRAM JADWAL GENAP'!F$7:V$126,14,FALSE))</f>
        <v>MKU</v>
      </c>
      <c r="B57" s="211">
        <f>IF(C57="","",VLOOKUP(C57,'PROGRAM JADWAL GENAP'!F$7:V$126,15,FALSE))</f>
        <v>0</v>
      </c>
      <c r="C57" s="212" t="s">
        <v>532</v>
      </c>
      <c r="D57" s="212" t="str">
        <f>IF(C57="","",VLOOKUP(C57,'PROGRAM JADWAL GENAP'!F$7:V$126,4,FALSE))</f>
        <v>Bahasa Indonesia</v>
      </c>
      <c r="E57" s="213" t="str">
        <f>IF(C57="","",VLOOKUP(C57,'PROGRAM JADWAL GENAP'!F$7:V$126,8,FALSE))</f>
        <v>D</v>
      </c>
      <c r="F57" s="213">
        <f>IF(C57="","",VLOOKUP(C57,'PROGRAM JADWAL GENAP'!F$7:V$126,9,FALSE))</f>
        <v>2</v>
      </c>
      <c r="G57" s="213">
        <f>IF(I57=4,2,I57)</f>
        <v>2</v>
      </c>
      <c r="H57" s="212" t="str">
        <f>IF(C57="","",VLOOKUP(C57,'PROGRAM JADWAL GENAP'!F$7:V$126,12,FALSE))</f>
        <v>MKU</v>
      </c>
      <c r="I57" s="217">
        <f>IF(C57="","",VLOOKUP(C57,'PROGRAM JADWAL GENAP'!F$7:V$126,10,FALSE))</f>
        <v>2</v>
      </c>
      <c r="J57" s="211" t="str">
        <f>IF(L57="","",VLOOKUP(L57,'PROGRAM JADWAL GENAP'!F$7:V$126,14,FALSE))</f>
        <v/>
      </c>
      <c r="K57" s="211" t="str">
        <f>IF(L57="","",VLOOKUP(L57,'PROGRAM JADWAL GENAP'!F$7:V$126,15,FALSE))</f>
        <v/>
      </c>
      <c r="L57" s="212"/>
      <c r="M57" s="212" t="str">
        <f>IF(L57="","",VLOOKUP(L57,'PROGRAM JADWAL GENAP'!F$7:V$126,4,FALSE))</f>
        <v/>
      </c>
      <c r="N57" s="213" t="str">
        <f>IF(L57="","",VLOOKUP(L57,'PROGRAM JADWAL GENAP'!F$7:V$126,8,FALSE))</f>
        <v/>
      </c>
      <c r="O57" s="213" t="str">
        <f>IF(L57="","",VLOOKUP(L57,'PROGRAM JADWAL GENAP'!F$7:V$126,9,FALSE))</f>
        <v/>
      </c>
      <c r="P57" s="213" t="str">
        <f>IF(R57=4,2,R57)</f>
        <v/>
      </c>
      <c r="Q57" s="212" t="str">
        <f>IF(L57="","",VLOOKUP(L57,'PROGRAM JADWAL GENAP'!F$7:V$126,12,FALSE))</f>
        <v/>
      </c>
      <c r="R57" s="217" t="str">
        <f>IF(L57="","",VLOOKUP(L57,'PROGRAM JADWAL GENAP'!F$7:V$126,10,FALSE))</f>
        <v/>
      </c>
      <c r="S57" s="211" t="str">
        <f>IF(U57="","",VLOOKUP(U57,'PROGRAM JADWAL GENAP'!F$7:V$126,14,FALSE))</f>
        <v/>
      </c>
      <c r="T57" s="211" t="str">
        <f>IF(U57="","",VLOOKUP(U57,'PROGRAM JADWAL GENAP'!F$7:V$126,15,FALSE))</f>
        <v/>
      </c>
      <c r="U57" s="212"/>
      <c r="V57" s="212" t="str">
        <f>IF(U57="","",VLOOKUP(U57,'PROGRAM JADWAL GENAP'!F$7:V$126,4,FALSE))</f>
        <v/>
      </c>
      <c r="W57" s="213" t="str">
        <f>IF(U57="","",VLOOKUP(U57,'PROGRAM JADWAL GENAP'!F$7:V$126,8,FALSE))</f>
        <v/>
      </c>
      <c r="X57" s="213" t="str">
        <f>IF(U57="","",VLOOKUP(U57,'PROGRAM JADWAL GENAP'!F$7:V$126,9,FALSE))</f>
        <v/>
      </c>
      <c r="Y57" s="213" t="str">
        <f>IF(AA57=4,2,AA57)</f>
        <v/>
      </c>
      <c r="Z57" s="212" t="str">
        <f>IF(U57="","",VLOOKUP(U57,'PROGRAM JADWAL GENAP'!F$7:V$126,12,FALSE))</f>
        <v/>
      </c>
      <c r="AA57" s="217" t="str">
        <f>IF(U57="","",VLOOKUP(U57,'PROGRAM JADWAL GENAP'!F$7:V$126,10,FALSE))</f>
        <v/>
      </c>
      <c r="AB57" s="211" t="str">
        <f>IF(AD57="","",VLOOKUP(AD57,'PROGRAM JADWAL GENAP'!F$7:V$126,14,FALSE))</f>
        <v/>
      </c>
      <c r="AC57" s="211" t="str">
        <f>IF(AD57="","",VLOOKUP(AD57,'PROGRAM JADWAL GENAP'!F$7:V$126,15,FALSE))</f>
        <v/>
      </c>
      <c r="AD57" s="212"/>
      <c r="AE57" s="212" t="str">
        <f>IF(AD57="","",VLOOKUP(AD57,'PROGRAM JADWAL GENAP'!F$7:V$126,4,FALSE))</f>
        <v/>
      </c>
      <c r="AF57" s="213" t="str">
        <f>IF(AD57="","",VLOOKUP(AD57,'PROGRAM JADWAL GENAP'!F$7:V$126,8,FALSE))</f>
        <v/>
      </c>
      <c r="AG57" s="213" t="str">
        <f>IF(AD57="","",VLOOKUP(AD57,'PROGRAM JADWAL GENAP'!F$7:V$126,9,FALSE))</f>
        <v/>
      </c>
      <c r="AH57" s="213" t="str">
        <f>IF(AJ57=4,2,AJ57)</f>
        <v/>
      </c>
      <c r="AI57" s="212" t="str">
        <f>IF(AD57="","",VLOOKUP(AD57,'PROGRAM JADWAL GENAP'!F$7:V$126,12,FALSE))</f>
        <v/>
      </c>
      <c r="AJ57" s="217" t="str">
        <f>IF(AD57="","",VLOOKUP(AD57,'PROGRAM JADWAL GENAP'!F$7:V$126,10,FALSE))</f>
        <v/>
      </c>
    </row>
    <row r="58" spans="1:36" ht="45" customHeight="1" x14ac:dyDescent="0.3">
      <c r="A58" s="211" t="str">
        <f>IF(C58="","",VLOOKUP(C58,'PROGRAM JADWAL GENAP'!F$7:V$126,14,FALSE))</f>
        <v/>
      </c>
      <c r="B58" s="211" t="str">
        <f>IF(C58="","",VLOOKUP(C58,'PROGRAM JADWAL GENAP'!F$7:V$126,15,FALSE))</f>
        <v/>
      </c>
      <c r="C58" s="212"/>
      <c r="D58" s="212" t="str">
        <f>IF(C58="","",VLOOKUP(C58,'PROGRAM JADWAL GENAP'!F$7:V$126,4,FALSE))</f>
        <v/>
      </c>
      <c r="E58" s="213" t="str">
        <f>IF(C58="","",VLOOKUP(C58,'PROGRAM JADWAL GENAP'!F$7:V$126,8,FALSE))</f>
        <v/>
      </c>
      <c r="F58" s="213" t="str">
        <f>IF(C58="","",VLOOKUP(C58,'PROGRAM JADWAL GENAP'!F$7:V$126,9,FALSE))</f>
        <v/>
      </c>
      <c r="G58" s="213" t="str">
        <f t="shared" ref="G58:G60" si="16">IF(I58=4,2,I58)</f>
        <v/>
      </c>
      <c r="H58" s="212" t="str">
        <f>IF(C58="","",VLOOKUP(C58,'PROGRAM JADWAL GENAP'!F$7:V$126,12,FALSE))</f>
        <v/>
      </c>
      <c r="I58" s="217" t="str">
        <f>IF(C58="","",VLOOKUP(C58,'PROGRAM JADWAL GENAP'!F$7:V$126,10,FALSE))</f>
        <v/>
      </c>
      <c r="J58" s="211" t="str">
        <f>IF(L58="","",VLOOKUP(L58,'PROGRAM JADWAL GENAP'!F$7:V$126,14,FALSE))</f>
        <v/>
      </c>
      <c r="K58" s="211" t="str">
        <f>IF(L58="","",VLOOKUP(L58,'PROGRAM JADWAL GENAP'!F$7:V$126,15,FALSE))</f>
        <v/>
      </c>
      <c r="L58" s="212"/>
      <c r="M58" s="212" t="str">
        <f>IF(L58="","",VLOOKUP(L58,'PROGRAM JADWAL GENAP'!F$7:V$126,4,FALSE))</f>
        <v/>
      </c>
      <c r="N58" s="213" t="str">
        <f>IF(L58="","",VLOOKUP(L58,'PROGRAM JADWAL GENAP'!F$7:V$126,8,FALSE))</f>
        <v/>
      </c>
      <c r="O58" s="213" t="str">
        <f>IF(L58="","",VLOOKUP(L58,'PROGRAM JADWAL GENAP'!F$7:V$126,9,FALSE))</f>
        <v/>
      </c>
      <c r="P58" s="213" t="str">
        <f t="shared" ref="P58:P60" si="17">IF(R58=4,2,R58)</f>
        <v/>
      </c>
      <c r="Q58" s="212" t="str">
        <f>IF(L58="","",VLOOKUP(L58,'PROGRAM JADWAL GENAP'!F$7:V$126,12,FALSE))</f>
        <v/>
      </c>
      <c r="R58" s="217" t="str">
        <f>IF(L58="","",VLOOKUP(L58,'PROGRAM JADWAL GENAP'!F$7:V$126,10,FALSE))</f>
        <v/>
      </c>
      <c r="S58" s="211" t="str">
        <f>IF(U58="","",VLOOKUP(U58,'PROGRAM JADWAL GENAP'!F$7:V$126,14,FALSE))</f>
        <v/>
      </c>
      <c r="T58" s="211" t="str">
        <f>IF(U58="","",VLOOKUP(U58,'PROGRAM JADWAL GENAP'!F$7:V$126,15,FALSE))</f>
        <v/>
      </c>
      <c r="U58" s="212"/>
      <c r="V58" s="212" t="str">
        <f>IF(U58="","",VLOOKUP(U58,'PROGRAM JADWAL GENAP'!F$7:V$126,4,FALSE))</f>
        <v/>
      </c>
      <c r="W58" s="213" t="str">
        <f>IF(U58="","",VLOOKUP(U58,'PROGRAM JADWAL GENAP'!F$7:V$126,8,FALSE))</f>
        <v/>
      </c>
      <c r="X58" s="213" t="str">
        <f>IF(U58="","",VLOOKUP(U58,'PROGRAM JADWAL GENAP'!F$7:V$126,9,FALSE))</f>
        <v/>
      </c>
      <c r="Y58" s="213" t="str">
        <f t="shared" ref="Y58:Y60" si="18">IF(AA58=4,2,AA58)</f>
        <v/>
      </c>
      <c r="Z58" s="212" t="str">
        <f>IF(U58="","",VLOOKUP(U58,'PROGRAM JADWAL GENAP'!F$7:V$126,12,FALSE))</f>
        <v/>
      </c>
      <c r="AA58" s="217" t="str">
        <f>IF(U58="","",VLOOKUP(U58,'PROGRAM JADWAL GENAP'!F$7:V$126,10,FALSE))</f>
        <v/>
      </c>
      <c r="AB58" s="211" t="str">
        <f>IF(AD58="","",VLOOKUP(AD58,'PROGRAM JADWAL GENAP'!F$7:V$126,14,FALSE))</f>
        <v/>
      </c>
      <c r="AC58" s="211" t="str">
        <f>IF(AD58="","",VLOOKUP(AD58,'PROGRAM JADWAL GENAP'!F$7:V$126,15,FALSE))</f>
        <v/>
      </c>
      <c r="AD58" s="212"/>
      <c r="AE58" s="212" t="str">
        <f>IF(AD58="","",VLOOKUP(AD58,'PROGRAM JADWAL GENAP'!F$7:V$126,4,FALSE))</f>
        <v/>
      </c>
      <c r="AF58" s="213" t="str">
        <f>IF(AD58="","",VLOOKUP(AD58,'PROGRAM JADWAL GENAP'!F$7:V$126,8,FALSE))</f>
        <v/>
      </c>
      <c r="AG58" s="213" t="str">
        <f>IF(AD58="","",VLOOKUP(AD58,'PROGRAM JADWAL GENAP'!F$7:V$126,9,FALSE))</f>
        <v/>
      </c>
      <c r="AH58" s="213" t="str">
        <f t="shared" ref="AH58:AH60" si="19">IF(AJ58=4,2,AJ58)</f>
        <v/>
      </c>
      <c r="AI58" s="212" t="str">
        <f>IF(AD58="","",VLOOKUP(AD58,'PROGRAM JADWAL GENAP'!F$7:V$126,12,FALSE))</f>
        <v/>
      </c>
      <c r="AJ58" s="217" t="str">
        <f>IF(AD58="","",VLOOKUP(AD58,'PROGRAM JADWAL GENAP'!F$7:V$126,10,FALSE))</f>
        <v/>
      </c>
    </row>
    <row r="59" spans="1:36" ht="45" customHeight="1" x14ac:dyDescent="0.3">
      <c r="A59" s="211" t="str">
        <f>IF(C59="","",VLOOKUP(C59,'PROGRAM JADWAL GENAP'!F$7:V$126,14,FALSE))</f>
        <v/>
      </c>
      <c r="B59" s="211" t="str">
        <f>IF(C59="","",VLOOKUP(C59,'PROGRAM JADWAL GENAP'!F$7:V$126,15,FALSE))</f>
        <v/>
      </c>
      <c r="C59" s="212"/>
      <c r="D59" s="212" t="str">
        <f>IF(C59="","",VLOOKUP(C59,'PROGRAM JADWAL GENAP'!F$7:V$126,4,FALSE))</f>
        <v/>
      </c>
      <c r="E59" s="213" t="str">
        <f>IF(C59="","",VLOOKUP(C59,'PROGRAM JADWAL GENAP'!F$7:V$126,8,FALSE))</f>
        <v/>
      </c>
      <c r="F59" s="213" t="str">
        <f>IF(C59="","",VLOOKUP(C59,'PROGRAM JADWAL GENAP'!F$7:V$126,9,FALSE))</f>
        <v/>
      </c>
      <c r="G59" s="213" t="str">
        <f t="shared" si="16"/>
        <v/>
      </c>
      <c r="H59" s="212" t="str">
        <f>IF(C59="","",VLOOKUP(C59,'PROGRAM JADWAL GENAP'!F$7:V$126,12,FALSE))</f>
        <v/>
      </c>
      <c r="I59" s="217" t="str">
        <f>IF(C59="","",VLOOKUP(C59,'PROGRAM JADWAL GENAP'!F$7:V$126,10,FALSE))</f>
        <v/>
      </c>
      <c r="J59" s="211" t="str">
        <f>IF(L59="","",VLOOKUP(L59,'PROGRAM JADWAL GENAP'!F$7:V$126,14,FALSE))</f>
        <v/>
      </c>
      <c r="K59" s="211" t="str">
        <f>IF(L59="","",VLOOKUP(L59,'PROGRAM JADWAL GENAP'!F$7:V$126,15,FALSE))</f>
        <v/>
      </c>
      <c r="L59" s="212"/>
      <c r="M59" s="212" t="str">
        <f>IF(L59="","",VLOOKUP(L59,'PROGRAM JADWAL GENAP'!F$7:V$126,4,FALSE))</f>
        <v/>
      </c>
      <c r="N59" s="213" t="str">
        <f>IF(L59="","",VLOOKUP(L59,'PROGRAM JADWAL GENAP'!F$7:V$126,8,FALSE))</f>
        <v/>
      </c>
      <c r="O59" s="213" t="str">
        <f>IF(L59="","",VLOOKUP(L59,'PROGRAM JADWAL GENAP'!F$7:V$126,9,FALSE))</f>
        <v/>
      </c>
      <c r="P59" s="213" t="str">
        <f t="shared" si="17"/>
        <v/>
      </c>
      <c r="Q59" s="212" t="str">
        <f>IF(L59="","",VLOOKUP(L59,'PROGRAM JADWAL GENAP'!F$7:V$126,12,FALSE))</f>
        <v/>
      </c>
      <c r="R59" s="217" t="str">
        <f>IF(L59="","",VLOOKUP(L59,'PROGRAM JADWAL GENAP'!F$7:V$126,10,FALSE))</f>
        <v/>
      </c>
      <c r="S59" s="211" t="str">
        <f>IF(U59="","",VLOOKUP(U59,'PROGRAM JADWAL GENAP'!F$7:V$126,14,FALSE))</f>
        <v/>
      </c>
      <c r="T59" s="211" t="str">
        <f>IF(U59="","",VLOOKUP(U59,'PROGRAM JADWAL GENAP'!F$7:V$126,15,FALSE))</f>
        <v/>
      </c>
      <c r="U59" s="212"/>
      <c r="V59" s="212" t="str">
        <f>IF(U59="","",VLOOKUP(U59,'PROGRAM JADWAL GENAP'!F$7:V$126,4,FALSE))</f>
        <v/>
      </c>
      <c r="W59" s="213" t="str">
        <f>IF(U59="","",VLOOKUP(U59,'PROGRAM JADWAL GENAP'!F$7:V$126,8,FALSE))</f>
        <v/>
      </c>
      <c r="X59" s="213" t="str">
        <f>IF(U59="","",VLOOKUP(U59,'PROGRAM JADWAL GENAP'!F$7:V$126,9,FALSE))</f>
        <v/>
      </c>
      <c r="Y59" s="213" t="str">
        <f t="shared" si="18"/>
        <v/>
      </c>
      <c r="Z59" s="212" t="str">
        <f>IF(U59="","",VLOOKUP(U59,'PROGRAM JADWAL GENAP'!F$7:V$126,12,FALSE))</f>
        <v/>
      </c>
      <c r="AA59" s="217" t="str">
        <f>IF(U59="","",VLOOKUP(U59,'PROGRAM JADWAL GENAP'!F$7:V$126,10,FALSE))</f>
        <v/>
      </c>
      <c r="AB59" s="211" t="str">
        <f>IF(AD59="","",VLOOKUP(AD59,'PROGRAM JADWAL GENAP'!F$7:V$126,14,FALSE))</f>
        <v/>
      </c>
      <c r="AC59" s="211" t="str">
        <f>IF(AD59="","",VLOOKUP(AD59,'PROGRAM JADWAL GENAP'!F$7:V$126,15,FALSE))</f>
        <v/>
      </c>
      <c r="AD59" s="212"/>
      <c r="AE59" s="212" t="str">
        <f>IF(AD59="","",VLOOKUP(AD59,'PROGRAM JADWAL GENAP'!F$7:V$126,4,FALSE))</f>
        <v/>
      </c>
      <c r="AF59" s="213" t="str">
        <f>IF(AD59="","",VLOOKUP(AD59,'PROGRAM JADWAL GENAP'!F$7:V$126,8,FALSE))</f>
        <v/>
      </c>
      <c r="AG59" s="213" t="str">
        <f>IF(AD59="","",VLOOKUP(AD59,'PROGRAM JADWAL GENAP'!F$7:V$126,9,FALSE))</f>
        <v/>
      </c>
      <c r="AH59" s="213" t="str">
        <f t="shared" si="19"/>
        <v/>
      </c>
      <c r="AI59" s="212" t="str">
        <f>IF(AD59="","",VLOOKUP(AD59,'PROGRAM JADWAL GENAP'!F$7:V$126,12,FALSE))</f>
        <v/>
      </c>
      <c r="AJ59" s="217" t="str">
        <f>IF(AD59="","",VLOOKUP(AD59,'PROGRAM JADWAL GENAP'!F$7:V$126,10,FALSE))</f>
        <v/>
      </c>
    </row>
    <row r="60" spans="1:36" ht="45" customHeight="1" x14ac:dyDescent="0.3">
      <c r="A60" s="211" t="str">
        <f>IF(C60="","",VLOOKUP(C60,'PROGRAM JADWAL GENAP'!F$7:V$126,14,FALSE))</f>
        <v/>
      </c>
      <c r="B60" s="211" t="str">
        <f>IF(C60="","",VLOOKUP(C60,'PROGRAM JADWAL GENAP'!F$7:V$126,15,FALSE))</f>
        <v/>
      </c>
      <c r="C60" s="212"/>
      <c r="D60" s="212" t="str">
        <f>IF(C60="","",VLOOKUP(C60,'PROGRAM JADWAL GENAP'!F$7:V$126,4,FALSE))</f>
        <v/>
      </c>
      <c r="E60" s="213" t="str">
        <f>IF(C60="","",VLOOKUP(C60,'PROGRAM JADWAL GENAP'!F$7:V$126,8,FALSE))</f>
        <v/>
      </c>
      <c r="F60" s="213" t="str">
        <f>IF(C60="","",VLOOKUP(C60,'PROGRAM JADWAL GENAP'!F$7:V$126,9,FALSE))</f>
        <v/>
      </c>
      <c r="G60" s="213" t="str">
        <f t="shared" si="16"/>
        <v/>
      </c>
      <c r="H60" s="212" t="str">
        <f>IF(C60="","",VLOOKUP(C60,'PROGRAM JADWAL GENAP'!F$7:V$126,12,FALSE))</f>
        <v/>
      </c>
      <c r="I60" s="217" t="str">
        <f>IF(C60="","",VLOOKUP(C60,'PROGRAM JADWAL GENAP'!F$7:V$126,10,FALSE))</f>
        <v/>
      </c>
      <c r="J60" s="211" t="str">
        <f>IF(L60="","",VLOOKUP(L60,'PROGRAM JADWAL GENAP'!F$7:V$126,14,FALSE))</f>
        <v/>
      </c>
      <c r="K60" s="211" t="str">
        <f>IF(L60="","",VLOOKUP(L60,'PROGRAM JADWAL GENAP'!F$7:V$126,15,FALSE))</f>
        <v/>
      </c>
      <c r="L60" s="212"/>
      <c r="M60" s="212" t="str">
        <f>IF(L60="","",VLOOKUP(L60,'PROGRAM JADWAL GENAP'!F$7:V$126,4,FALSE))</f>
        <v/>
      </c>
      <c r="N60" s="213" t="str">
        <f>IF(L60="","",VLOOKUP(L60,'PROGRAM JADWAL GENAP'!F$7:V$126,8,FALSE))</f>
        <v/>
      </c>
      <c r="O60" s="213" t="str">
        <f>IF(L60="","",VLOOKUP(L60,'PROGRAM JADWAL GENAP'!F$7:V$126,9,FALSE))</f>
        <v/>
      </c>
      <c r="P60" s="213" t="str">
        <f t="shared" si="17"/>
        <v/>
      </c>
      <c r="Q60" s="212" t="str">
        <f>IF(L60="","",VLOOKUP(L60,'PROGRAM JADWAL GENAP'!F$7:V$126,12,FALSE))</f>
        <v/>
      </c>
      <c r="R60" s="217" t="str">
        <f>IF(L60="","",VLOOKUP(L60,'PROGRAM JADWAL GENAP'!F$7:V$126,10,FALSE))</f>
        <v/>
      </c>
      <c r="S60" s="211" t="str">
        <f>IF(U60="","",VLOOKUP(U60,'PROGRAM JADWAL GENAP'!F$7:V$126,14,FALSE))</f>
        <v/>
      </c>
      <c r="T60" s="211" t="str">
        <f>IF(U60="","",VLOOKUP(U60,'PROGRAM JADWAL GENAP'!F$7:V$126,15,FALSE))</f>
        <v/>
      </c>
      <c r="U60" s="212"/>
      <c r="V60" s="212" t="str">
        <f>IF(U60="","",VLOOKUP(U60,'PROGRAM JADWAL GENAP'!F$7:V$126,4,FALSE))</f>
        <v/>
      </c>
      <c r="W60" s="213" t="str">
        <f>IF(U60="","",VLOOKUP(U60,'PROGRAM JADWAL GENAP'!F$7:V$126,8,FALSE))</f>
        <v/>
      </c>
      <c r="X60" s="213" t="str">
        <f>IF(U60="","",VLOOKUP(U60,'PROGRAM JADWAL GENAP'!F$7:V$126,9,FALSE))</f>
        <v/>
      </c>
      <c r="Y60" s="213" t="str">
        <f t="shared" si="18"/>
        <v/>
      </c>
      <c r="Z60" s="212" t="str">
        <f>IF(U60="","",VLOOKUP(U60,'PROGRAM JADWAL GENAP'!F$7:V$126,12,FALSE))</f>
        <v/>
      </c>
      <c r="AA60" s="217" t="str">
        <f>IF(U60="","",VLOOKUP(U60,'PROGRAM JADWAL GENAP'!F$7:V$126,10,FALSE))</f>
        <v/>
      </c>
      <c r="AB60" s="211" t="str">
        <f>IF(AD60="","",VLOOKUP(AD60,'PROGRAM JADWAL GENAP'!F$7:V$126,14,FALSE))</f>
        <v/>
      </c>
      <c r="AC60" s="211" t="str">
        <f>IF(AD60="","",VLOOKUP(AD60,'PROGRAM JADWAL GENAP'!F$7:V$126,15,FALSE))</f>
        <v/>
      </c>
      <c r="AD60" s="212"/>
      <c r="AE60" s="212" t="str">
        <f>IF(AD60="","",VLOOKUP(AD60,'PROGRAM JADWAL GENAP'!F$7:V$126,4,FALSE))</f>
        <v/>
      </c>
      <c r="AF60" s="213" t="str">
        <f>IF(AD60="","",VLOOKUP(AD60,'PROGRAM JADWAL GENAP'!F$7:V$126,8,FALSE))</f>
        <v/>
      </c>
      <c r="AG60" s="213" t="str">
        <f>IF(AD60="","",VLOOKUP(AD60,'PROGRAM JADWAL GENAP'!F$7:V$126,9,FALSE))</f>
        <v/>
      </c>
      <c r="AH60" s="213" t="str">
        <f t="shared" si="19"/>
        <v/>
      </c>
      <c r="AI60" s="212" t="str">
        <f>IF(AD60="","",VLOOKUP(AD60,'PROGRAM JADWAL GENAP'!F$7:V$126,12,FALSE))</f>
        <v/>
      </c>
      <c r="AJ60" s="217" t="str">
        <f>IF(AD60="","",VLOOKUP(AD60,'PROGRAM JADWAL GENAP'!F$7:V$126,10,FALSE))</f>
        <v/>
      </c>
    </row>
    <row r="61" spans="1:36" ht="31.8" customHeight="1" x14ac:dyDescent="0.35">
      <c r="A61" s="270" t="s">
        <v>428</v>
      </c>
      <c r="B61" s="270"/>
      <c r="C61" s="270"/>
      <c r="D61" s="270"/>
      <c r="E61" s="270"/>
      <c r="F61" s="270"/>
      <c r="G61" s="226" t="e">
        <f>SUM(G33:G36,G39:G42,G45:G48,G51:G54,G57:G60)</f>
        <v>#N/A</v>
      </c>
      <c r="H61" s="227"/>
      <c r="J61" s="270" t="s">
        <v>428</v>
      </c>
      <c r="K61" s="270"/>
      <c r="L61" s="270"/>
      <c r="M61" s="270"/>
      <c r="N61" s="270"/>
      <c r="O61" s="270"/>
      <c r="P61" s="226" t="e">
        <f>SUM(P33:P36,P39:P42,P45:P48,P51:P54,P57:P60)</f>
        <v>#N/A</v>
      </c>
      <c r="Q61" s="227"/>
      <c r="R61" s="217" t="str">
        <f>IF(L61="","",VLOOKUP(L61,'PROGRAM JADWAL GENAP'!F$7:V$126,10,FALSE))</f>
        <v/>
      </c>
      <c r="S61" s="270" t="s">
        <v>428</v>
      </c>
      <c r="T61" s="270"/>
      <c r="U61" s="270"/>
      <c r="V61" s="270"/>
      <c r="W61" s="270"/>
      <c r="X61" s="270"/>
      <c r="Y61" s="226">
        <f>SUM(Y33:Y36,Y39:Y42,Y45:Y48,Y51:Y54,Y57:Y60)</f>
        <v>0</v>
      </c>
      <c r="Z61" s="227"/>
      <c r="AA61" s="217" t="str">
        <f>IF(U61="","",VLOOKUP(U61,'PROGRAM JADWAL GENAP'!F$7:V$126,10,FALSE))</f>
        <v/>
      </c>
      <c r="AB61" s="270" t="s">
        <v>428</v>
      </c>
      <c r="AC61" s="270"/>
      <c r="AD61" s="270"/>
      <c r="AE61" s="270"/>
      <c r="AF61" s="270"/>
      <c r="AG61" s="270"/>
      <c r="AH61" s="226">
        <f>SUM(AH33:AH36,AH39:AH42,AH45:AH48,AH51:AH54,AH57:AH60)</f>
        <v>0</v>
      </c>
      <c r="AI61" s="227"/>
      <c r="AJ61" s="217" t="str">
        <f>IF(AD61="","",VLOOKUP(AD61,'PROGRAM JADWAL GENAP'!F$7:V$126,10,FALSE))</f>
        <v/>
      </c>
    </row>
    <row r="62" spans="1:36" ht="45" customHeight="1" x14ac:dyDescent="0.3"/>
    <row r="63" spans="1:36" ht="45" customHeight="1" x14ac:dyDescent="0.3"/>
    <row r="64" spans="1:36" ht="45" customHeight="1" x14ac:dyDescent="0.3"/>
    <row r="65" ht="45" customHeight="1" x14ac:dyDescent="0.3"/>
    <row r="66" ht="45" customHeight="1" x14ac:dyDescent="0.3"/>
    <row r="67" ht="45" customHeight="1" x14ac:dyDescent="0.3"/>
    <row r="68" ht="45" customHeight="1" x14ac:dyDescent="0.3"/>
    <row r="69" ht="45" customHeight="1" x14ac:dyDescent="0.3"/>
    <row r="70" ht="45" customHeight="1" x14ac:dyDescent="0.3"/>
    <row r="71" ht="45" customHeight="1" x14ac:dyDescent="0.3"/>
    <row r="72" ht="45" customHeight="1" x14ac:dyDescent="0.3"/>
    <row r="73" ht="45" customHeight="1" x14ac:dyDescent="0.3"/>
    <row r="74" ht="45" customHeight="1" x14ac:dyDescent="0.3"/>
    <row r="75" ht="45" customHeight="1" x14ac:dyDescent="0.3"/>
    <row r="76" ht="45" customHeight="1" x14ac:dyDescent="0.3"/>
    <row r="77" ht="45" customHeight="1" x14ac:dyDescent="0.3"/>
    <row r="78" ht="45" customHeight="1" x14ac:dyDescent="0.3"/>
    <row r="79" ht="45" customHeight="1" x14ac:dyDescent="0.3"/>
    <row r="80" ht="45" customHeight="1" x14ac:dyDescent="0.3"/>
    <row r="81" ht="45" customHeight="1" x14ac:dyDescent="0.3"/>
    <row r="82" ht="45" customHeight="1" x14ac:dyDescent="0.3"/>
    <row r="83" ht="45" customHeight="1" x14ac:dyDescent="0.3"/>
    <row r="84" ht="45" customHeight="1" x14ac:dyDescent="0.3"/>
    <row r="85" ht="45" customHeight="1" x14ac:dyDescent="0.3"/>
    <row r="86" ht="45" customHeight="1" x14ac:dyDescent="0.3"/>
    <row r="87" ht="45" customHeight="1" x14ac:dyDescent="0.3"/>
    <row r="88" ht="45" customHeight="1" x14ac:dyDescent="0.3"/>
    <row r="89" ht="45" customHeight="1" x14ac:dyDescent="0.3"/>
    <row r="90" ht="45" customHeight="1" x14ac:dyDescent="0.3"/>
    <row r="91" ht="45" customHeight="1" x14ac:dyDescent="0.3"/>
    <row r="92" ht="45" customHeight="1" x14ac:dyDescent="0.3"/>
    <row r="93" ht="45" customHeight="1" x14ac:dyDescent="0.3"/>
    <row r="94" ht="45" customHeight="1" x14ac:dyDescent="0.3"/>
    <row r="95" ht="45" customHeight="1" x14ac:dyDescent="0.3"/>
    <row r="96" ht="45" customHeight="1" x14ac:dyDescent="0.3"/>
    <row r="97" ht="45" customHeight="1" x14ac:dyDescent="0.3"/>
    <row r="98" ht="45" customHeight="1" x14ac:dyDescent="0.3"/>
    <row r="99" ht="45" customHeight="1" x14ac:dyDescent="0.3"/>
    <row r="100" ht="45" customHeight="1" x14ac:dyDescent="0.3"/>
    <row r="101" ht="45" customHeight="1" x14ac:dyDescent="0.3"/>
    <row r="102" ht="45" customHeight="1" x14ac:dyDescent="0.3"/>
    <row r="103" ht="45" customHeight="1" x14ac:dyDescent="0.3"/>
    <row r="104" ht="45" customHeight="1" x14ac:dyDescent="0.3"/>
    <row r="105" ht="45" customHeight="1" x14ac:dyDescent="0.3"/>
    <row r="106" ht="45" customHeight="1" x14ac:dyDescent="0.3"/>
    <row r="107" ht="45" customHeight="1" x14ac:dyDescent="0.3"/>
    <row r="108" ht="45" customHeight="1" x14ac:dyDescent="0.3"/>
    <row r="109" ht="45" customHeight="1" x14ac:dyDescent="0.3"/>
    <row r="110" ht="45" customHeight="1" x14ac:dyDescent="0.3"/>
    <row r="111" ht="45" customHeight="1" x14ac:dyDescent="0.3"/>
    <row r="112" ht="45" customHeight="1" x14ac:dyDescent="0.3"/>
    <row r="113" ht="45" customHeight="1" x14ac:dyDescent="0.3"/>
    <row r="114" ht="45" customHeight="1" x14ac:dyDescent="0.3"/>
    <row r="115" ht="45" customHeight="1" x14ac:dyDescent="0.3"/>
    <row r="116" ht="45" customHeight="1" x14ac:dyDescent="0.3"/>
    <row r="117" ht="45" customHeight="1" x14ac:dyDescent="0.3"/>
    <row r="118" ht="45" customHeight="1" x14ac:dyDescent="0.3"/>
    <row r="119" ht="45" customHeight="1" x14ac:dyDescent="0.3"/>
    <row r="120" ht="45" customHeight="1" x14ac:dyDescent="0.3"/>
    <row r="121" ht="45" customHeight="1" x14ac:dyDescent="0.3"/>
    <row r="122" ht="45" customHeight="1" x14ac:dyDescent="0.3"/>
    <row r="123" ht="45" customHeight="1" x14ac:dyDescent="0.3"/>
    <row r="124" ht="45" customHeight="1" x14ac:dyDescent="0.3"/>
    <row r="125" ht="45" customHeight="1" x14ac:dyDescent="0.3"/>
    <row r="126" ht="45" customHeight="1" x14ac:dyDescent="0.3"/>
    <row r="127" ht="45" customHeight="1" x14ac:dyDescent="0.3"/>
    <row r="128" ht="45" customHeight="1" x14ac:dyDescent="0.3"/>
    <row r="129" ht="45" customHeight="1" x14ac:dyDescent="0.3"/>
    <row r="130" ht="45" customHeight="1" x14ac:dyDescent="0.3"/>
    <row r="131" ht="45" customHeight="1" x14ac:dyDescent="0.3"/>
    <row r="132" ht="45" customHeight="1" x14ac:dyDescent="0.3"/>
    <row r="133" ht="45" customHeight="1" x14ac:dyDescent="0.3"/>
    <row r="134" ht="45" customHeight="1" x14ac:dyDescent="0.3"/>
    <row r="135" ht="45" customHeight="1" x14ac:dyDescent="0.3"/>
    <row r="136" ht="45" customHeight="1" x14ac:dyDescent="0.3"/>
    <row r="137" ht="45" customHeight="1" x14ac:dyDescent="0.3"/>
    <row r="138" ht="45" customHeight="1" x14ac:dyDescent="0.3"/>
    <row r="139" ht="45" customHeight="1" x14ac:dyDescent="0.3"/>
    <row r="140" ht="45" customHeight="1" x14ac:dyDescent="0.3"/>
    <row r="141" ht="45" customHeight="1" x14ac:dyDescent="0.3"/>
    <row r="142" ht="45" customHeight="1" x14ac:dyDescent="0.3"/>
    <row r="143" ht="45" customHeight="1" x14ac:dyDescent="0.3"/>
    <row r="144" ht="45" customHeight="1" x14ac:dyDescent="0.3"/>
  </sheetData>
  <mergeCells count="28">
    <mergeCell ref="AB61:AG61"/>
    <mergeCell ref="S31:Z31"/>
    <mergeCell ref="S37:Z37"/>
    <mergeCell ref="S43:Z43"/>
    <mergeCell ref="S49:Z49"/>
    <mergeCell ref="S55:Z55"/>
    <mergeCell ref="S61:X61"/>
    <mergeCell ref="AB31:AI31"/>
    <mergeCell ref="AB37:AI37"/>
    <mergeCell ref="AB43:AI43"/>
    <mergeCell ref="AB49:AI49"/>
    <mergeCell ref="AB55:AI55"/>
    <mergeCell ref="E2:F2"/>
    <mergeCell ref="A31:H31"/>
    <mergeCell ref="A37:H37"/>
    <mergeCell ref="A43:H43"/>
    <mergeCell ref="J61:O61"/>
    <mergeCell ref="A49:H49"/>
    <mergeCell ref="A55:H55"/>
    <mergeCell ref="A61:F61"/>
    <mergeCell ref="A10:C10"/>
    <mergeCell ref="A19:C19"/>
    <mergeCell ref="A29:C29"/>
    <mergeCell ref="J31:Q31"/>
    <mergeCell ref="J37:Q37"/>
    <mergeCell ref="J43:Q43"/>
    <mergeCell ref="J49:Q49"/>
    <mergeCell ref="J55:Q5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82" operator="containsText" id="{3234EFDF-3DD1-4E90-967B-2F1B9DC3E7A2}">
            <xm:f>NOT(ISERROR(SEARCH($B$28,D33)))</xm:f>
            <xm:f>$B$28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83" operator="containsText" id="{DBD6CE4C-7E3F-407F-A1D3-DCF0470D3490}">
            <xm:f>NOT(ISERROR(SEARCH($B$27,D33)))</xm:f>
            <xm:f>$B$27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84" operator="containsText" id="{17957158-6240-4849-86D4-3AF7D949E1A9}">
            <xm:f>NOT(ISERROR(SEARCH($B$26,D33)))</xm:f>
            <xm:f>$B$26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85" operator="containsText" id="{CD797791-5325-4C3C-9FEA-D687E118A5D3}">
            <xm:f>NOT(ISERROR(SEARCH($B$25,D33)))</xm:f>
            <xm:f>$B$25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86" operator="containsText" id="{EAA09356-5FC8-4EB0-8247-1C83C4D65B45}">
            <xm:f>NOT(ISERROR(SEARCH($B$24,D33)))</xm:f>
            <xm:f>$B$24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87" operator="containsText" id="{1C15D825-E448-4BE2-8146-E7B0BB2B712E}">
            <xm:f>NOT(ISERROR(SEARCH($B$23,D33)))</xm:f>
            <xm:f>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88" operator="containsText" id="{60887B6E-991F-44AB-A7D2-0D0ADC2C007A}">
            <xm:f>NOT(ISERROR(SEARCH($B$22,D33)))</xm:f>
            <xm:f>$B$22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89" operator="containsText" id="{6FD439EF-27E8-4E07-85D9-E1C23ED5195E}">
            <xm:f>NOT(ISERROR(SEARCH($B$21,D33)))</xm:f>
            <xm:f>$B$21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D33:D36 D39:D42 D45:D48 D51:D54 D57:D60</xm:sqref>
        </x14:conditionalFormatting>
        <x14:conditionalFormatting xmlns:xm="http://schemas.microsoft.com/office/excel/2006/main">
          <x14:cfRule type="containsText" priority="877" operator="containsText" id="{FEF8385A-23AB-4E30-8EC4-ACED410F63D8}">
            <xm:f>NOT(ISERROR(SEARCH($B$9,D33)))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78" operator="containsText" id="{63877829-FA6F-483A-9AEB-FFCDC2FA7857}">
            <xm:f>NOT(ISERROR(SEARCH($B$8,D33)))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79" operator="containsText" id="{A11C2CB8-E652-4FF0-9494-3AC6A1A5955B}">
            <xm:f>NOT(ISERROR(SEARCH($B$7,D33)))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80" operator="containsText" id="{EA7F7656-87B6-4AE1-8448-76E6D7E0F4C1}">
            <xm:f>NOT(ISERROR(SEARCH($B$6,D33)))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81" operator="containsText" id="{EDA98E43-5904-45E0-B084-E947DFAD2BDD}">
            <xm:f>NOT(ISERROR(SEARCH($B$5,D33)))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82" operator="containsText" id="{C6D6EF1B-6808-4049-834E-0B5C0FA341B9}">
            <xm:f>NOT(ISERROR(SEARCH($B$4,D33)))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83" operator="containsText" id="{4226EFCF-131E-4F65-BA19-62D715EE1B54}">
            <xm:f>NOT(ISERROR(SEARCH($B$3,D33)))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84" operator="containsText" id="{48440616-6E61-458D-B643-29CDA49067DE}">
            <xm:f>NOT(ISERROR(SEARCH($B$18,D33)))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85" operator="containsText" id="{B746B3AF-BCD0-42B1-88DD-46A73C9DF020}">
            <xm:f>NOT(ISERROR(SEARCH($B$17,D33)))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86" operator="containsText" id="{9578EDE5-3D53-403E-9292-83A369458D39}">
            <xm:f>NOT(ISERROR(SEARCH($B$16,D33)))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87" operator="containsText" id="{E8F5825E-927B-4C0C-A432-0C2E0D38D638}">
            <xm:f>NOT(ISERROR(SEARCH($B$15,D33)))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88" operator="containsText" id="{74503E83-0755-4677-A704-EBD115677D3D}">
            <xm:f>NOT(ISERROR(SEARCH($B$14,D33)))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89" operator="containsText" id="{2B42F807-612E-465C-A737-D068B0FD2EDD}">
            <xm:f>NOT(ISERROR(SEARCH($B$13,D33)))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90" operator="containsText" id="{ABA311DC-FD2F-4FF1-8CF1-126CCD85A4E6}">
            <xm:f>NOT(ISERROR(SEARCH($B$12,D33)))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D33:D36</xm:sqref>
        </x14:conditionalFormatting>
        <x14:conditionalFormatting xmlns:xm="http://schemas.microsoft.com/office/excel/2006/main">
          <x14:cfRule type="containsText" priority="863" operator="containsText" id="{16AB673B-4697-47D8-95D9-D4697760DF23}">
            <xm:f>NOT(ISERROR(SEARCH($B$9,D39)))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64" operator="containsText" id="{4F18707C-0755-4A7E-9893-A930BCE08CA4}">
            <xm:f>NOT(ISERROR(SEARCH($B$8,D39)))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65" operator="containsText" id="{7DE07AD2-F68D-45A3-A22A-39B099ADEF40}">
            <xm:f>NOT(ISERROR(SEARCH($B$7,D39)))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66" operator="containsText" id="{FEC3DB12-E94B-4CF1-B9C3-524B4C435061}">
            <xm:f>NOT(ISERROR(SEARCH($B$6,D39)))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67" operator="containsText" id="{9040AF09-8E6F-447C-88E8-AB2B32994E31}">
            <xm:f>NOT(ISERROR(SEARCH($B$5,D39)))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68" operator="containsText" id="{30821AD0-F28E-4EFB-A6E3-D1D54041476B}">
            <xm:f>NOT(ISERROR(SEARCH($B$4,D39)))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69" operator="containsText" id="{68CDD3F5-19B1-493D-936C-BFB9E7A44134}">
            <xm:f>NOT(ISERROR(SEARCH($B$3,D39)))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70" operator="containsText" id="{028A3904-2CB1-482F-8D23-9CAFBEFD0ED5}">
            <xm:f>NOT(ISERROR(SEARCH($B$18,D39)))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71" operator="containsText" id="{5CECA346-F206-419A-B33E-507EDA10C3DE}">
            <xm:f>NOT(ISERROR(SEARCH($B$17,D39)))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72" operator="containsText" id="{787E7C55-4BB0-41A7-B322-AD08B8CE627B}">
            <xm:f>NOT(ISERROR(SEARCH($B$16,D39)))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73" operator="containsText" id="{00504419-1463-4902-97CC-7C60BD4DD786}">
            <xm:f>NOT(ISERROR(SEARCH($B$15,D39)))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74" operator="containsText" id="{B2BB9CD1-9015-410A-8173-785BED57D466}">
            <xm:f>NOT(ISERROR(SEARCH($B$14,D39)))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75" operator="containsText" id="{1C7A6210-72CF-4938-A96E-41AC4BBCFE20}">
            <xm:f>NOT(ISERROR(SEARCH($B$13,D39)))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76" operator="containsText" id="{04A3215F-AAF4-4034-94CC-441A4DC58322}">
            <xm:f>NOT(ISERROR(SEARCH($B$12,D39)))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D39</xm:sqref>
        </x14:conditionalFormatting>
        <x14:conditionalFormatting xmlns:xm="http://schemas.microsoft.com/office/excel/2006/main">
          <x14:cfRule type="containsText" priority="849" operator="containsText" id="{6CF38095-3D7E-49F1-AA36-D5561673D3AC}">
            <xm:f>NOT(ISERROR(SEARCH($B$9,D39)))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50" operator="containsText" id="{024808E0-412D-4FB9-953C-55C3C6F043E3}">
            <xm:f>NOT(ISERROR(SEARCH($B$8,D39)))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51" operator="containsText" id="{6AF5D97F-92EC-471F-857D-384634AA150B}">
            <xm:f>NOT(ISERROR(SEARCH($B$7,D39)))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52" operator="containsText" id="{3CFFBA02-0CEA-483F-9AAE-453DEA0BB8A9}">
            <xm:f>NOT(ISERROR(SEARCH($B$6,D39)))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53" operator="containsText" id="{960A9901-4FD1-4E15-89E4-26E2C4EA5FA0}">
            <xm:f>NOT(ISERROR(SEARCH($B$5,D39)))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54" operator="containsText" id="{570EAD29-6B5B-4036-9016-A8E064972758}">
            <xm:f>NOT(ISERROR(SEARCH($B$4,D39)))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55" operator="containsText" id="{11D447B1-DF0A-4456-8095-054F5C663FBC}">
            <xm:f>NOT(ISERROR(SEARCH($B$3,D39)))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56" operator="containsText" id="{AF6C168F-3F29-4731-812A-B2DD6C205B0E}">
            <xm:f>NOT(ISERROR(SEARCH($B$18,D39)))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57" operator="containsText" id="{15470AA0-578D-455B-B49C-EE288719F2A9}">
            <xm:f>NOT(ISERROR(SEARCH($B$17,D39)))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58" operator="containsText" id="{9A49072B-5060-4C6B-B81B-AB24EBDEA1BD}">
            <xm:f>NOT(ISERROR(SEARCH($B$16,D39)))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59" operator="containsText" id="{15EA742F-6197-4CA6-A171-70E29E4CF292}">
            <xm:f>NOT(ISERROR(SEARCH($B$15,D39)))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60" operator="containsText" id="{0C3C8E5A-F98A-4531-85E2-F1063BB014DF}">
            <xm:f>NOT(ISERROR(SEARCH($B$14,D39)))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61" operator="containsText" id="{5AB7621E-645D-41ED-8060-517697DFFBF2}">
            <xm:f>NOT(ISERROR(SEARCH($B$13,D39)))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62" operator="containsText" id="{A2660BF5-D9B7-4ECE-84C5-2854E6CCD4A8}">
            <xm:f>NOT(ISERROR(SEARCH($B$12,D39)))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D39:D42</xm:sqref>
        </x14:conditionalFormatting>
        <x14:conditionalFormatting xmlns:xm="http://schemas.microsoft.com/office/excel/2006/main">
          <x14:cfRule type="containsText" priority="835" operator="containsText" id="{79BEC1BA-223A-483B-84A3-2B6A61270CAB}">
            <xm:f>NOT(ISERROR(SEARCH($B$9,D45)))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36" operator="containsText" id="{463E52B7-F01B-4A1F-B0A5-74F73C8C09E9}">
            <xm:f>NOT(ISERROR(SEARCH($B$8,D45)))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37" operator="containsText" id="{0260CCFE-F81B-4D83-B2E6-11008F5CB91D}">
            <xm:f>NOT(ISERROR(SEARCH($B$7,D45)))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38" operator="containsText" id="{384BC3AB-D45C-4C7B-A9E3-6BDA7FE9885A}">
            <xm:f>NOT(ISERROR(SEARCH($B$6,D45)))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39" operator="containsText" id="{B4FD6954-0D00-4BD0-A137-E8C861BA376C}">
            <xm:f>NOT(ISERROR(SEARCH($B$5,D45)))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40" operator="containsText" id="{94B6AB07-4718-48A8-833D-3C277BE2BAF1}">
            <xm:f>NOT(ISERROR(SEARCH($B$4,D45)))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41" operator="containsText" id="{814613CA-A84F-4346-BCCE-BD3AA2D3428D}">
            <xm:f>NOT(ISERROR(SEARCH($B$3,D45)))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42" operator="containsText" id="{66B597B8-40E3-4E82-BA13-D2A417B025A2}">
            <xm:f>NOT(ISERROR(SEARCH($B$18,D45)))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43" operator="containsText" id="{6D6DB698-403F-4A71-80D8-808718B48C28}">
            <xm:f>NOT(ISERROR(SEARCH($B$17,D45)))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44" operator="containsText" id="{28DF8913-CBD1-4786-9401-C984C41D8FC3}">
            <xm:f>NOT(ISERROR(SEARCH($B$16,D45)))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45" operator="containsText" id="{79DA4BE9-62AB-43E5-8F3B-B73FF3891AE5}">
            <xm:f>NOT(ISERROR(SEARCH($B$15,D45)))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46" operator="containsText" id="{B2149544-15A9-41C8-AA72-F6901D1CEDA9}">
            <xm:f>NOT(ISERROR(SEARCH($B$14,D45)))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47" operator="containsText" id="{BE8D36DE-771A-4857-B1D6-78668057C70A}">
            <xm:f>NOT(ISERROR(SEARCH($B$13,D45)))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48" operator="containsText" id="{FF924F2C-A142-4DD7-90EC-E076F45B8FC5}">
            <xm:f>NOT(ISERROR(SEARCH($B$12,D45)))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D45:D48</xm:sqref>
        </x14:conditionalFormatting>
        <x14:conditionalFormatting xmlns:xm="http://schemas.microsoft.com/office/excel/2006/main">
          <x14:cfRule type="containsText" priority="821" operator="containsText" id="{0A5D84BD-F6FF-4C63-8209-3F6D79908E11}">
            <xm:f>NOT(ISERROR(SEARCH($B$9,D51)))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22" operator="containsText" id="{16804EFF-5F5A-4272-AD63-9D41E925881C}">
            <xm:f>NOT(ISERROR(SEARCH($B$8,D51)))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23" operator="containsText" id="{FBDABD0B-3A57-4942-ADD2-A2093E69223B}">
            <xm:f>NOT(ISERROR(SEARCH($B$7,D51)))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24" operator="containsText" id="{54D2242E-E9C3-454C-A291-EDB4FF85DC56}">
            <xm:f>NOT(ISERROR(SEARCH($B$6,D51)))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25" operator="containsText" id="{A2CDEE5E-BC04-4C62-BCCC-A21A50AC709B}">
            <xm:f>NOT(ISERROR(SEARCH($B$5,D51)))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26" operator="containsText" id="{8ED99AED-831C-4411-8FA0-28B1F71386E0}">
            <xm:f>NOT(ISERROR(SEARCH($B$4,D51)))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27" operator="containsText" id="{A9AD3D4E-377C-495D-B4B8-942ED224907E}">
            <xm:f>NOT(ISERROR(SEARCH($B$3,D51)))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28" operator="containsText" id="{112E918A-E561-42E9-814C-E0D0A333BD19}">
            <xm:f>NOT(ISERROR(SEARCH($B$18,D51)))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29" operator="containsText" id="{8BC8BBB1-19CC-470D-BA9E-61257F4B86AD}">
            <xm:f>NOT(ISERROR(SEARCH($B$17,D51)))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30" operator="containsText" id="{406F9DC2-548F-4657-B0B0-D5452F5C8F2A}">
            <xm:f>NOT(ISERROR(SEARCH($B$16,D51)))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31" operator="containsText" id="{79F7EF44-2070-4041-9835-D04E34159F01}">
            <xm:f>NOT(ISERROR(SEARCH($B$15,D51)))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32" operator="containsText" id="{40784C9B-C0C2-450F-BD46-CA3F212CADA2}">
            <xm:f>NOT(ISERROR(SEARCH($B$14,D51)))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33" operator="containsText" id="{71970B36-AAD6-46CC-9E27-06EA6BEDBA79}">
            <xm:f>NOT(ISERROR(SEARCH($B$13,D51)))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34" operator="containsText" id="{4862223A-6AA5-45A1-A2CD-598B8AB801D9}">
            <xm:f>NOT(ISERROR(SEARCH($B$12,D51)))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D51:D54</xm:sqref>
        </x14:conditionalFormatting>
        <x14:conditionalFormatting xmlns:xm="http://schemas.microsoft.com/office/excel/2006/main">
          <x14:cfRule type="containsText" priority="807" operator="containsText" id="{90AE8070-33E3-4162-A977-8FE2DCBE34CB}">
            <xm:f>NOT(ISERROR(SEARCH($B$9,D57)))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08" operator="containsText" id="{2C769FAC-FC22-4DE1-BB4E-3670BE3FE727}">
            <xm:f>NOT(ISERROR(SEARCH($B$8,D57)))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09" operator="containsText" id="{72B13B32-25EB-4556-A191-4A5B731CFDF7}">
            <xm:f>NOT(ISERROR(SEARCH($B$7,D57)))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10" operator="containsText" id="{DB775C7A-988F-4ACA-A435-BFDB98501083}">
            <xm:f>NOT(ISERROR(SEARCH($B$6,D57)))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11" operator="containsText" id="{05F7C768-8300-42B3-AF64-E3412BF8DDE8}">
            <xm:f>NOT(ISERROR(SEARCH($B$5,D57)))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12" operator="containsText" id="{01115BAF-6CE5-492E-93BE-AE48D88F1207}">
            <xm:f>NOT(ISERROR(SEARCH($B$4,D57)))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13" operator="containsText" id="{F82B25D5-F635-470A-B55C-B473C443554C}">
            <xm:f>NOT(ISERROR(SEARCH($B$3,D57)))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14" operator="containsText" id="{2F281374-167F-4FE0-A0D5-75567FD425B4}">
            <xm:f>NOT(ISERROR(SEARCH($B$18,D57)))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15" operator="containsText" id="{1FB6788A-4FDD-48D9-8039-465D0C240E97}">
            <xm:f>NOT(ISERROR(SEARCH($B$17,D57)))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16" operator="containsText" id="{F92DED8F-35E0-4B2F-8518-51981654AF4C}">
            <xm:f>NOT(ISERROR(SEARCH($B$16,D57)))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17" operator="containsText" id="{0D82D481-D9EF-45EC-B35B-4592923FC308}">
            <xm:f>NOT(ISERROR(SEARCH($B$15,D57)))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18" operator="containsText" id="{0B3D787F-F670-4EFE-A23A-AE47F41E382E}">
            <xm:f>NOT(ISERROR(SEARCH($B$14,D57)))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19" operator="containsText" id="{BEE09D64-1DB5-48CA-B407-960099662408}">
            <xm:f>NOT(ISERROR(SEARCH($B$13,D57)))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20" operator="containsText" id="{72AC3D6E-AEBB-405A-87DF-B44884F4EE2E}">
            <xm:f>NOT(ISERROR(SEARCH($B$12,D57)))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D57:D60</xm:sqref>
        </x14:conditionalFormatting>
        <x14:conditionalFormatting xmlns:xm="http://schemas.microsoft.com/office/excel/2006/main">
          <x14:cfRule type="containsText" priority="615" operator="containsText" id="{16BE72E4-7925-46E9-94CC-CCFF9BF3688D}">
            <xm:f>NOT(ISERROR(SEARCH($B$28,AE33)))</xm:f>
            <xm:f>$B$28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16" operator="containsText" id="{7638185C-5B17-4F62-B0DD-8E282FA590DE}">
            <xm:f>NOT(ISERROR(SEARCH($B$27,AE33)))</xm:f>
            <xm:f>$B$27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17" operator="containsText" id="{E3FB3473-5FFC-456A-A4D0-C2CEBB9515CE}">
            <xm:f>NOT(ISERROR(SEARCH($B$26,AE33)))</xm:f>
            <xm:f>$B$26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18" operator="containsText" id="{A6A4F2F0-390D-406A-85E1-DEC49AD80B99}">
            <xm:f>NOT(ISERROR(SEARCH($B$25,AE33)))</xm:f>
            <xm:f>$B$25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19" operator="containsText" id="{FD716884-EF48-4AD4-9C50-0CFDC4173EBD}">
            <xm:f>NOT(ISERROR(SEARCH($B$24,AE33)))</xm:f>
            <xm:f>$B$24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20" operator="containsText" id="{8FA46EAC-267D-43CB-8894-C40199644D92}">
            <xm:f>NOT(ISERROR(SEARCH($B$23,AE33)))</xm:f>
            <xm:f>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21" operator="containsText" id="{700105CE-DAF5-4CAE-96E4-5F83AD6F9AAC}">
            <xm:f>NOT(ISERROR(SEARCH($B$22,AE33)))</xm:f>
            <xm:f>$B$22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22" operator="containsText" id="{B3669BEE-D26D-43E5-96BB-ACA3713FFEC5}">
            <xm:f>NOT(ISERROR(SEARCH($B$21,AE33)))</xm:f>
            <xm:f>$B$21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AE33:AE36 AE39:AE42 AE45:AE48 AE51:AE54 AE57:AE60</xm:sqref>
        </x14:conditionalFormatting>
        <x14:conditionalFormatting xmlns:xm="http://schemas.microsoft.com/office/excel/2006/main">
          <x14:cfRule type="containsText" priority="601" operator="containsText" id="{90A58EA2-B941-4176-87D6-ED9058D1569B}">
            <xm:f>NOT(ISERROR(SEARCH($B$9,AE33)))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02" operator="containsText" id="{42682ABB-1B5B-4C94-9773-B7355B9C0703}">
            <xm:f>NOT(ISERROR(SEARCH($B$8,AE33)))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03" operator="containsText" id="{3C40DA93-6A2C-4AFC-AC12-C58D8F0F5440}">
            <xm:f>NOT(ISERROR(SEARCH($B$7,AE33)))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04" operator="containsText" id="{E3CFCE3D-86EC-41CE-A423-0FB23F42B0D2}">
            <xm:f>NOT(ISERROR(SEARCH($B$6,AE33)))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05" operator="containsText" id="{6BF18BA6-E92E-4A48-8261-A76D156BA14E}">
            <xm:f>NOT(ISERROR(SEARCH($B$5,AE33)))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06" operator="containsText" id="{61BD1DBE-C871-43AB-8FDA-B07EA144D151}">
            <xm:f>NOT(ISERROR(SEARCH($B$4,AE33)))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07" operator="containsText" id="{A9BFA1BF-F6F7-47B6-8EDB-06D45B221EE3}">
            <xm:f>NOT(ISERROR(SEARCH($B$3,AE33)))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08" operator="containsText" id="{07D95E53-C25E-472B-8867-27157864C493}">
            <xm:f>NOT(ISERROR(SEARCH($B$18,AE33)))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09" operator="containsText" id="{180ACB35-F806-49FB-9520-8704A7F400E7}">
            <xm:f>NOT(ISERROR(SEARCH($B$17,AE33)))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10" operator="containsText" id="{82BD9F0B-1E23-4466-A5E2-862842BABCC8}">
            <xm:f>NOT(ISERROR(SEARCH($B$16,AE33)))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11" operator="containsText" id="{1D8EDBEB-2041-4342-9EA2-8953581E0C8D}">
            <xm:f>NOT(ISERROR(SEARCH($B$15,AE33)))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12" operator="containsText" id="{EB3AC126-10A8-4CE3-B387-6ABF7E310535}">
            <xm:f>NOT(ISERROR(SEARCH($B$14,AE33)))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13" operator="containsText" id="{ADDA0DE9-50FF-49B6-90C4-D2A0433D5D84}">
            <xm:f>NOT(ISERROR(SEARCH($B$13,AE33)))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14" operator="containsText" id="{D468F359-C116-49F2-847C-C28486C3BC19}">
            <xm:f>NOT(ISERROR(SEARCH($B$12,AE33)))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AE33:AE36</xm:sqref>
        </x14:conditionalFormatting>
        <x14:conditionalFormatting xmlns:xm="http://schemas.microsoft.com/office/excel/2006/main">
          <x14:cfRule type="containsText" priority="445" operator="containsText" id="{4F3EC537-028B-4DA3-B3FA-8F7ACFD762BA}">
            <xm:f>NOT(ISERROR(SEARCH($B$28,M33)))</xm:f>
            <xm:f>$B$28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46" operator="containsText" id="{A82FA9FB-4E82-4B66-8AD9-F7710E7EC31C}">
            <xm:f>NOT(ISERROR(SEARCH($B$27,M33)))</xm:f>
            <xm:f>$B$27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47" operator="containsText" id="{4FABC6AF-A379-449A-9DBF-D227E063FD88}">
            <xm:f>NOT(ISERROR(SEARCH($B$26,M33)))</xm:f>
            <xm:f>$B$26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48" operator="containsText" id="{33294A18-BE59-4268-BC7A-FE9C60AF617C}">
            <xm:f>NOT(ISERROR(SEARCH($B$25,M33)))</xm:f>
            <xm:f>$B$25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49" operator="containsText" id="{075938A0-9F54-4BEB-8E9F-03A6FC032106}">
            <xm:f>NOT(ISERROR(SEARCH($B$24,M33)))</xm:f>
            <xm:f>$B$24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50" operator="containsText" id="{A5553588-758C-45BF-A51F-5A9C6B009C00}">
            <xm:f>NOT(ISERROR(SEARCH($B$23,M33)))</xm:f>
            <xm:f>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51" operator="containsText" id="{284F501D-8457-4C07-9A27-98DE00C15301}">
            <xm:f>NOT(ISERROR(SEARCH($B$22,M33)))</xm:f>
            <xm:f>$B$22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52" operator="containsText" id="{19C04B76-08D2-471A-9CA3-BAA14E4BB605}">
            <xm:f>NOT(ISERROR(SEARCH($B$21,M33)))</xm:f>
            <xm:f>$B$21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M33:M36</xm:sqref>
        </x14:conditionalFormatting>
        <x14:conditionalFormatting xmlns:xm="http://schemas.microsoft.com/office/excel/2006/main">
          <x14:cfRule type="containsText" priority="431" operator="containsText" id="{C3C38A21-77B5-401C-97AB-CDEFFE82FFFC}">
            <xm:f>NOT(ISERROR(SEARCH($B$9,M33)))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32" operator="containsText" id="{76D9EF74-C508-45B9-866F-373C9E7F4C1D}">
            <xm:f>NOT(ISERROR(SEARCH($B$8,M33)))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33" operator="containsText" id="{9BB26D7B-8A09-40AF-94C1-74A1E875898D}">
            <xm:f>NOT(ISERROR(SEARCH($B$7,M33)))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34" operator="containsText" id="{327B1F5C-10BC-423C-8E7D-12C8E8B65197}">
            <xm:f>NOT(ISERROR(SEARCH($B$6,M33)))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35" operator="containsText" id="{3377CE7D-B6CD-4F14-B0E4-832DAEE7ED29}">
            <xm:f>NOT(ISERROR(SEARCH($B$5,M33)))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36" operator="containsText" id="{7F62468A-57AF-4AC1-93C7-89E6CDA6AF28}">
            <xm:f>NOT(ISERROR(SEARCH($B$4,M33)))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37" operator="containsText" id="{42EA2681-EC5F-4D43-8365-062B15480BAC}">
            <xm:f>NOT(ISERROR(SEARCH($B$3,M33)))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38" operator="containsText" id="{84CFB096-3016-41A9-8730-6801F6C4CC93}">
            <xm:f>NOT(ISERROR(SEARCH($B$18,M33)))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39" operator="containsText" id="{1BEF708D-02AE-4BA9-93E9-F4280AD0C538}">
            <xm:f>NOT(ISERROR(SEARCH($B$17,M33)))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40" operator="containsText" id="{D6CBEF14-2798-42F8-8D42-2AFDB6AA341A}">
            <xm:f>NOT(ISERROR(SEARCH($B$16,M33)))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41" operator="containsText" id="{6749F423-2A61-4B9D-A3A4-05A9380994BA}">
            <xm:f>NOT(ISERROR(SEARCH($B$15,M33)))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42" operator="containsText" id="{47EE3DF7-8135-4E29-A2DF-BEAE54659D3C}">
            <xm:f>NOT(ISERROR(SEARCH($B$14,M33)))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43" operator="containsText" id="{59E7492D-A658-44DC-B4C6-5209BECE0B2F}">
            <xm:f>NOT(ISERROR(SEARCH($B$13,M33)))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44" operator="containsText" id="{1C8515BC-1B21-45DD-8266-1873AD76499E}">
            <xm:f>NOT(ISERROR(SEARCH($B$12,M33)))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M33:M36</xm:sqref>
        </x14:conditionalFormatting>
        <x14:conditionalFormatting xmlns:xm="http://schemas.microsoft.com/office/excel/2006/main">
          <x14:cfRule type="containsText" priority="423" operator="containsText" id="{1C6A8303-FCE1-4EDA-A888-063F1630661C}">
            <xm:f>NOT(ISERROR(SEARCH($B$28,M39)))</xm:f>
            <xm:f>$B$28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24" operator="containsText" id="{A2EB8DF9-9538-4B98-BC26-EBB0A8F394B3}">
            <xm:f>NOT(ISERROR(SEARCH($B$27,M39)))</xm:f>
            <xm:f>$B$27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25" operator="containsText" id="{E700A8CA-D4DB-4B98-A4D3-14D2D364257A}">
            <xm:f>NOT(ISERROR(SEARCH($B$26,M39)))</xm:f>
            <xm:f>$B$26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26" operator="containsText" id="{8981E101-149C-475B-8CEA-FBE66D55E302}">
            <xm:f>NOT(ISERROR(SEARCH($B$25,M39)))</xm:f>
            <xm:f>$B$25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27" operator="containsText" id="{17D526D5-7806-4503-BA39-1A95DC64A6C6}">
            <xm:f>NOT(ISERROR(SEARCH($B$24,M39)))</xm:f>
            <xm:f>$B$24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28" operator="containsText" id="{3F5EE873-53B7-44A4-91EA-E56A2CE933A8}">
            <xm:f>NOT(ISERROR(SEARCH($B$23,M39)))</xm:f>
            <xm:f>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29" operator="containsText" id="{05228086-44DF-4DB2-BB85-340B1210BBF7}">
            <xm:f>NOT(ISERROR(SEARCH($B$22,M39)))</xm:f>
            <xm:f>$B$22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30" operator="containsText" id="{6B2AF794-34AD-4237-8462-1E587B366036}">
            <xm:f>NOT(ISERROR(SEARCH($B$21,M39)))</xm:f>
            <xm:f>$B$21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M39:M42</xm:sqref>
        </x14:conditionalFormatting>
        <x14:conditionalFormatting xmlns:xm="http://schemas.microsoft.com/office/excel/2006/main">
          <x14:cfRule type="containsText" priority="409" operator="containsText" id="{8517BFA3-AF1E-4853-948D-1C524DBBD778}">
            <xm:f>NOT(ISERROR(SEARCH($B$9,M39)))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10" operator="containsText" id="{658DE964-E3D4-49FD-B15B-D295B9653169}">
            <xm:f>NOT(ISERROR(SEARCH($B$8,M39)))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11" operator="containsText" id="{D0B71765-C400-466B-B4C1-5D799FCB6737}">
            <xm:f>NOT(ISERROR(SEARCH($B$7,M39)))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12" operator="containsText" id="{AD14607B-DD2F-4E9F-91B7-566A825CA2ED}">
            <xm:f>NOT(ISERROR(SEARCH($B$6,M39)))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13" operator="containsText" id="{499126B2-3F08-4005-B940-92930C031ADA}">
            <xm:f>NOT(ISERROR(SEARCH($B$5,M39)))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14" operator="containsText" id="{B0EAAAA7-62D6-4C55-B575-D4C12AFD2D64}">
            <xm:f>NOT(ISERROR(SEARCH($B$4,M39)))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15" operator="containsText" id="{017A947A-652B-4FB3-B011-6DB9E579BC2C}">
            <xm:f>NOT(ISERROR(SEARCH($B$3,M39)))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16" operator="containsText" id="{44A7E8C6-8207-45BC-B588-3E13A9844668}">
            <xm:f>NOT(ISERROR(SEARCH($B$18,M39)))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17" operator="containsText" id="{EA2A9A79-1B5F-4533-83DB-37F9C0561EE6}">
            <xm:f>NOT(ISERROR(SEARCH($B$17,M39)))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18" operator="containsText" id="{DEBB2396-2696-4091-8767-C6F2C4AD75F9}">
            <xm:f>NOT(ISERROR(SEARCH($B$16,M39)))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19" operator="containsText" id="{0837F999-5392-4C63-877F-18A0B99544F4}">
            <xm:f>NOT(ISERROR(SEARCH($B$15,M39)))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20" operator="containsText" id="{E339B039-E598-4E38-A1C5-33270C9402A1}">
            <xm:f>NOT(ISERROR(SEARCH($B$14,M39)))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21" operator="containsText" id="{5409A5ED-7EBA-4A3E-8C6B-91EAFE24B4DD}">
            <xm:f>NOT(ISERROR(SEARCH($B$13,M39)))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22" operator="containsText" id="{FCC50EDB-2090-40D7-AE08-09854A004459}">
            <xm:f>NOT(ISERROR(SEARCH($B$12,M39)))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M39:M42</xm:sqref>
        </x14:conditionalFormatting>
        <x14:conditionalFormatting xmlns:xm="http://schemas.microsoft.com/office/excel/2006/main">
          <x14:cfRule type="containsText" priority="401" operator="containsText" id="{E592A024-4DCF-400F-B8E9-27501CEF4BEB}">
            <xm:f>NOT(ISERROR(SEARCH($B$28,M45)))</xm:f>
            <xm:f>$B$28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02" operator="containsText" id="{D2A17B3D-0CF1-462C-86B9-3132EFBC32A7}">
            <xm:f>NOT(ISERROR(SEARCH($B$27,M45)))</xm:f>
            <xm:f>$B$27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03" operator="containsText" id="{5E1405AD-C2E6-4D89-80DB-057052426182}">
            <xm:f>NOT(ISERROR(SEARCH($B$26,M45)))</xm:f>
            <xm:f>$B$26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04" operator="containsText" id="{07F2FBE7-A2CB-4723-8845-2AE5519DE67F}">
            <xm:f>NOT(ISERROR(SEARCH($B$25,M45)))</xm:f>
            <xm:f>$B$25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05" operator="containsText" id="{C9AE5B14-3696-4E9D-8A17-AF2AC639FA91}">
            <xm:f>NOT(ISERROR(SEARCH($B$24,M45)))</xm:f>
            <xm:f>$B$24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06" operator="containsText" id="{DEF4B274-302E-41F5-89DA-A8EE08960073}">
            <xm:f>NOT(ISERROR(SEARCH($B$23,M45)))</xm:f>
            <xm:f>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07" operator="containsText" id="{40FDBF9C-ACD5-4AB8-865B-17AFAC0EDCDE}">
            <xm:f>NOT(ISERROR(SEARCH($B$22,M45)))</xm:f>
            <xm:f>$B$22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08" operator="containsText" id="{72977BE2-909B-423B-AC36-4E6A073D7EC6}">
            <xm:f>NOT(ISERROR(SEARCH($B$21,M45)))</xm:f>
            <xm:f>$B$21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M45:M48</xm:sqref>
        </x14:conditionalFormatting>
        <x14:conditionalFormatting xmlns:xm="http://schemas.microsoft.com/office/excel/2006/main">
          <x14:cfRule type="containsText" priority="387" operator="containsText" id="{16BC9298-0E4D-4EBB-9318-49CFB3B384CA}">
            <xm:f>NOT(ISERROR(SEARCH($B$9,M45)))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88" operator="containsText" id="{ADD6E414-5C9C-4478-9F58-FE1E872C806C}">
            <xm:f>NOT(ISERROR(SEARCH($B$8,M45)))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89" operator="containsText" id="{33A66625-F24E-497E-9BF2-64B31F5B9CFE}">
            <xm:f>NOT(ISERROR(SEARCH($B$7,M45)))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90" operator="containsText" id="{B03F9E0F-AD9E-4CFC-A476-40B120C157AE}">
            <xm:f>NOT(ISERROR(SEARCH($B$6,M45)))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91" operator="containsText" id="{BE68CB6C-BA87-4DDD-8732-C2A9115707B0}">
            <xm:f>NOT(ISERROR(SEARCH($B$5,M45)))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92" operator="containsText" id="{658F8370-AEBE-41F2-99A3-23C53C0E0D8B}">
            <xm:f>NOT(ISERROR(SEARCH($B$4,M45)))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93" operator="containsText" id="{F36A366E-8C5D-4A6F-8F6A-0B09AF5EFDFC}">
            <xm:f>NOT(ISERROR(SEARCH($B$3,M45)))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94" operator="containsText" id="{E98C915D-D7F9-4EF9-A2D4-E75996194961}">
            <xm:f>NOT(ISERROR(SEARCH($B$18,M45)))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95" operator="containsText" id="{02923BB3-817A-4676-B4D2-4C8C9EAC0C7F}">
            <xm:f>NOT(ISERROR(SEARCH($B$17,M45)))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96" operator="containsText" id="{7DC61C70-19EE-4D0F-9B1E-6E37009F8E64}">
            <xm:f>NOT(ISERROR(SEARCH($B$16,M45)))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97" operator="containsText" id="{091A546B-EC79-4E62-858B-22BBA108E4BE}">
            <xm:f>NOT(ISERROR(SEARCH($B$15,M45)))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98" operator="containsText" id="{A5DDF9F3-1919-4EAB-9D28-12000D08433B}">
            <xm:f>NOT(ISERROR(SEARCH($B$14,M45)))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99" operator="containsText" id="{4B471D81-E5AC-455A-9DE8-19C6D81749AC}">
            <xm:f>NOT(ISERROR(SEARCH($B$13,M45)))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00" operator="containsText" id="{9AFDC45B-0B7B-488D-8C59-FFE335E02B4B}">
            <xm:f>NOT(ISERROR(SEARCH($B$12,M45)))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M45:M48</xm:sqref>
        </x14:conditionalFormatting>
        <x14:conditionalFormatting xmlns:xm="http://schemas.microsoft.com/office/excel/2006/main">
          <x14:cfRule type="containsText" priority="379" operator="containsText" id="{B100BE3E-21C8-4901-96EF-E47255C1C12E}">
            <xm:f>NOT(ISERROR(SEARCH($B$28,M51)))</xm:f>
            <xm:f>$B$28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80" operator="containsText" id="{DABD0D5C-8717-4A89-AB9A-A39A906C931A}">
            <xm:f>NOT(ISERROR(SEARCH($B$27,M51)))</xm:f>
            <xm:f>$B$27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81" operator="containsText" id="{305E1784-BCE3-4E92-99D3-3413E5EFD768}">
            <xm:f>NOT(ISERROR(SEARCH($B$26,M51)))</xm:f>
            <xm:f>$B$26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82" operator="containsText" id="{E153ED01-8B18-4B5A-977C-382081D244BD}">
            <xm:f>NOT(ISERROR(SEARCH($B$25,M51)))</xm:f>
            <xm:f>$B$25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83" operator="containsText" id="{E476048F-1F84-469E-96D2-8562B8E0BB42}">
            <xm:f>NOT(ISERROR(SEARCH($B$24,M51)))</xm:f>
            <xm:f>$B$24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84" operator="containsText" id="{11CCA6AC-44F1-4316-8C23-A4256A105C74}">
            <xm:f>NOT(ISERROR(SEARCH($B$23,M51)))</xm:f>
            <xm:f>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85" operator="containsText" id="{3FF60F36-DF11-472B-9F0F-128AB395C646}">
            <xm:f>NOT(ISERROR(SEARCH($B$22,M51)))</xm:f>
            <xm:f>$B$22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86" operator="containsText" id="{2046EBCE-BF35-407D-AB6D-9A2E64CD8EBC}">
            <xm:f>NOT(ISERROR(SEARCH($B$21,M51)))</xm:f>
            <xm:f>$B$21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M51:M54</xm:sqref>
        </x14:conditionalFormatting>
        <x14:conditionalFormatting xmlns:xm="http://schemas.microsoft.com/office/excel/2006/main">
          <x14:cfRule type="containsText" priority="365" operator="containsText" id="{ED7A7830-3D5A-4479-AC54-6D1A136D7766}">
            <xm:f>NOT(ISERROR(SEARCH($B$9,M51)))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66" operator="containsText" id="{A8DB1AB1-B5B9-46FD-B7A8-964817C8931B}">
            <xm:f>NOT(ISERROR(SEARCH($B$8,M51)))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67" operator="containsText" id="{94C0B49E-F5B8-40B0-AC9E-6553D35D246A}">
            <xm:f>NOT(ISERROR(SEARCH($B$7,M51)))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68" operator="containsText" id="{C78F09E0-60C8-4338-98D8-568970A11793}">
            <xm:f>NOT(ISERROR(SEARCH($B$6,M51)))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69" operator="containsText" id="{844B6117-E193-41FB-9AAF-F1E5032B545E}">
            <xm:f>NOT(ISERROR(SEARCH($B$5,M51)))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70" operator="containsText" id="{F79A8983-23E5-4647-9137-C37598B0F3E8}">
            <xm:f>NOT(ISERROR(SEARCH($B$4,M51)))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71" operator="containsText" id="{1F908508-51FF-4E41-9FB8-5AA38CCC556B}">
            <xm:f>NOT(ISERROR(SEARCH($B$3,M51)))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72" operator="containsText" id="{84B83557-0CA6-4C6B-BC82-A2FC44F62288}">
            <xm:f>NOT(ISERROR(SEARCH($B$18,M51)))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73" operator="containsText" id="{64E10AE3-1E80-4A86-A771-B01B00CC228B}">
            <xm:f>NOT(ISERROR(SEARCH($B$17,M51)))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74" operator="containsText" id="{BB670582-9085-449C-866B-C51425A576BE}">
            <xm:f>NOT(ISERROR(SEARCH($B$16,M51)))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75" operator="containsText" id="{AABAF746-E732-47C9-8996-CCA7B01CE214}">
            <xm:f>NOT(ISERROR(SEARCH($B$15,M51)))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76" operator="containsText" id="{D322C124-70BE-423C-9206-A0B60A52F301}">
            <xm:f>NOT(ISERROR(SEARCH($B$14,M51)))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77" operator="containsText" id="{2245F1F7-A87C-404C-9C74-EEA3D4E0C264}">
            <xm:f>NOT(ISERROR(SEARCH($B$13,M51)))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78" operator="containsText" id="{59C64E42-FA18-4FDD-8CDF-9772C531C59C}">
            <xm:f>NOT(ISERROR(SEARCH($B$12,M51)))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M51:M54</xm:sqref>
        </x14:conditionalFormatting>
        <x14:conditionalFormatting xmlns:xm="http://schemas.microsoft.com/office/excel/2006/main">
          <x14:cfRule type="containsText" priority="357" operator="containsText" id="{18CFD7F8-3353-46A3-A4DC-72006EAE4B8E}">
            <xm:f>NOT(ISERROR(SEARCH($B$28,M57)))</xm:f>
            <xm:f>$B$28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58" operator="containsText" id="{190A33EA-34BD-43F4-8288-38948CD87376}">
            <xm:f>NOT(ISERROR(SEARCH($B$27,M57)))</xm:f>
            <xm:f>$B$27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59" operator="containsText" id="{4D30CD24-DBF6-47D1-992F-348586142A14}">
            <xm:f>NOT(ISERROR(SEARCH($B$26,M57)))</xm:f>
            <xm:f>$B$26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60" operator="containsText" id="{522EB9A0-5951-4044-B7E0-739EFF715813}">
            <xm:f>NOT(ISERROR(SEARCH($B$25,M57)))</xm:f>
            <xm:f>$B$25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61" operator="containsText" id="{FFA98BFA-A31C-4D29-8DCB-677C8A06EE2B}">
            <xm:f>NOT(ISERROR(SEARCH($B$24,M57)))</xm:f>
            <xm:f>$B$24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62" operator="containsText" id="{D2DA9131-FD2A-4A5E-8902-014F693FB917}">
            <xm:f>NOT(ISERROR(SEARCH($B$23,M57)))</xm:f>
            <xm:f>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63" operator="containsText" id="{098BF8FE-7F7A-4065-BB15-765D3DE8B235}">
            <xm:f>NOT(ISERROR(SEARCH($B$22,M57)))</xm:f>
            <xm:f>$B$22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64" operator="containsText" id="{2786C58B-24E3-43F9-B64E-53ACBBB414D8}">
            <xm:f>NOT(ISERROR(SEARCH($B$21,M57)))</xm:f>
            <xm:f>$B$21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M57:M60</xm:sqref>
        </x14:conditionalFormatting>
        <x14:conditionalFormatting xmlns:xm="http://schemas.microsoft.com/office/excel/2006/main">
          <x14:cfRule type="containsText" priority="343" operator="containsText" id="{F0E5D1E5-BCBC-497A-A766-895272E34415}">
            <xm:f>NOT(ISERROR(SEARCH($B$9,M57)))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44" operator="containsText" id="{08008B0E-1C3F-438C-A175-2367C3B1B947}">
            <xm:f>NOT(ISERROR(SEARCH($B$8,M57)))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45" operator="containsText" id="{45F1E2CE-81A2-4936-BB3C-6C474881C414}">
            <xm:f>NOT(ISERROR(SEARCH($B$7,M57)))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46" operator="containsText" id="{B67834CC-FD39-4C40-91E7-FA78BD139EDD}">
            <xm:f>NOT(ISERROR(SEARCH($B$6,M57)))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47" operator="containsText" id="{1AE0543A-E0A8-4E27-8C2B-C4B1B5BBFBA0}">
            <xm:f>NOT(ISERROR(SEARCH($B$5,M57)))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48" operator="containsText" id="{C15C5CCE-4C4E-4273-A6A7-A86199644361}">
            <xm:f>NOT(ISERROR(SEARCH($B$4,M57)))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49" operator="containsText" id="{BEA807C0-42C1-4C5D-A42F-1527E12986EC}">
            <xm:f>NOT(ISERROR(SEARCH($B$3,M57)))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50" operator="containsText" id="{29BAB05E-3F40-4A44-8E28-36DFC18600DD}">
            <xm:f>NOT(ISERROR(SEARCH($B$18,M57)))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51" operator="containsText" id="{61EBE7B3-0489-4734-A5B5-2CE2B781B0F5}">
            <xm:f>NOT(ISERROR(SEARCH($B$17,M57)))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52" operator="containsText" id="{7BDA8F7C-6E2C-486F-A796-3EFA209B9C6E}">
            <xm:f>NOT(ISERROR(SEARCH($B$16,M57)))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53" operator="containsText" id="{4EB5F39B-0927-4FC7-B326-C5551342CBD5}">
            <xm:f>NOT(ISERROR(SEARCH($B$15,M57)))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54" operator="containsText" id="{21C66912-7596-4D87-A74C-DDD6BDE78994}">
            <xm:f>NOT(ISERROR(SEARCH($B$14,M57)))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55" operator="containsText" id="{1536039E-D721-40E9-A28D-CE9ACF3DF85C}">
            <xm:f>NOT(ISERROR(SEARCH($B$13,M57)))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56" operator="containsText" id="{1AA2A024-B72F-47DB-8B5F-5AECFBEF47B9}">
            <xm:f>NOT(ISERROR(SEARCH($B$12,M57)))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M57:M60</xm:sqref>
        </x14:conditionalFormatting>
        <x14:conditionalFormatting xmlns:xm="http://schemas.microsoft.com/office/excel/2006/main">
          <x14:cfRule type="containsText" priority="335" operator="containsText" id="{E59C3C64-2D3F-4FDE-A42D-79D87EF22D72}">
            <xm:f>NOT(ISERROR(SEARCH($B$28,V33)))</xm:f>
            <xm:f>$B$28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36" operator="containsText" id="{751AF1CA-034E-4CC3-83BE-73282DB1FF1F}">
            <xm:f>NOT(ISERROR(SEARCH($B$27,V33)))</xm:f>
            <xm:f>$B$27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37" operator="containsText" id="{3D8E30BB-2173-4ED9-BE9B-7389B5A1943C}">
            <xm:f>NOT(ISERROR(SEARCH($B$26,V33)))</xm:f>
            <xm:f>$B$26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38" operator="containsText" id="{9C640886-16E9-42C8-A295-218D116DDFD1}">
            <xm:f>NOT(ISERROR(SEARCH($B$25,V33)))</xm:f>
            <xm:f>$B$25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39" operator="containsText" id="{F27BFB04-2F48-48A4-B958-50D286637EA8}">
            <xm:f>NOT(ISERROR(SEARCH($B$24,V33)))</xm:f>
            <xm:f>$B$24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40" operator="containsText" id="{D9C10F4F-993D-4264-B62C-0AD3CC880CBA}">
            <xm:f>NOT(ISERROR(SEARCH($B$23,V33)))</xm:f>
            <xm:f>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41" operator="containsText" id="{7DB25863-9FE4-4837-9280-B5A7F957F1D5}">
            <xm:f>NOT(ISERROR(SEARCH($B$22,V33)))</xm:f>
            <xm:f>$B$22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42" operator="containsText" id="{7D14E8E2-6127-4B6C-A4DE-CA93B6489D63}">
            <xm:f>NOT(ISERROR(SEARCH($B$21,V33)))</xm:f>
            <xm:f>$B$21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V33:V36</xm:sqref>
        </x14:conditionalFormatting>
        <x14:conditionalFormatting xmlns:xm="http://schemas.microsoft.com/office/excel/2006/main">
          <x14:cfRule type="containsText" priority="321" operator="containsText" id="{83C9F22C-5544-4D4A-903D-4565BE1E1283}">
            <xm:f>NOT(ISERROR(SEARCH($B$9,V33)))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22" operator="containsText" id="{5EADFBD9-3738-4ED1-BCF0-73F1260C43DD}">
            <xm:f>NOT(ISERROR(SEARCH($B$8,V33)))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23" operator="containsText" id="{3F5AB398-BA7C-401D-8CF4-23A761D0D9E6}">
            <xm:f>NOT(ISERROR(SEARCH($B$7,V33)))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24" operator="containsText" id="{647F7466-FD62-493F-80BB-17F6B0620949}">
            <xm:f>NOT(ISERROR(SEARCH($B$6,V33)))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25" operator="containsText" id="{25C5A11A-AF7D-4558-A8B7-BA3AF7E6D47E}">
            <xm:f>NOT(ISERROR(SEARCH($B$5,V33)))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26" operator="containsText" id="{9B5EAA4C-9766-4C3E-97E7-F5DF93D09F48}">
            <xm:f>NOT(ISERROR(SEARCH($B$4,V33)))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27" operator="containsText" id="{C18840AD-DD6A-4A7E-9546-871433EA0A3E}">
            <xm:f>NOT(ISERROR(SEARCH($B$3,V33)))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28" operator="containsText" id="{652C2684-8F65-4A02-9466-7DFC90C8D690}">
            <xm:f>NOT(ISERROR(SEARCH($B$18,V33)))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29" operator="containsText" id="{4FE90FD3-CE95-4F97-A91A-344755547722}">
            <xm:f>NOT(ISERROR(SEARCH($B$17,V33)))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30" operator="containsText" id="{2646D50E-C3BE-4524-9031-A447E5BB5E09}">
            <xm:f>NOT(ISERROR(SEARCH($B$16,V33)))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31" operator="containsText" id="{438CB25D-F0FA-4FF4-B7EF-779CCD8F897E}">
            <xm:f>NOT(ISERROR(SEARCH($B$15,V33)))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32" operator="containsText" id="{2DA3B19C-97C2-4449-8C73-F8F73EF41AE0}">
            <xm:f>NOT(ISERROR(SEARCH($B$14,V33)))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33" operator="containsText" id="{E39E0D9F-1048-475A-9AB7-328939E9B1EF}">
            <xm:f>NOT(ISERROR(SEARCH($B$13,V33)))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34" operator="containsText" id="{CA23B519-5BA9-4369-8BAE-7B1BD35DC2C1}">
            <xm:f>NOT(ISERROR(SEARCH($B$12,V33)))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V33:V36</xm:sqref>
        </x14:conditionalFormatting>
        <x14:conditionalFormatting xmlns:xm="http://schemas.microsoft.com/office/excel/2006/main">
          <x14:cfRule type="containsText" priority="131" operator="containsText" id="{79D30A41-0A10-4657-83F5-9299746E44FF}">
            <xm:f>NOT(ISERROR(SEARCH($B$9,AE39)))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32" operator="containsText" id="{AFCCBBFA-E5CB-4C47-9C0D-82B48135C5F1}">
            <xm:f>NOT(ISERROR(SEARCH($B$8,AE39)))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33" operator="containsText" id="{0D73CF12-E4DD-455B-8406-FDD6E5876650}">
            <xm:f>NOT(ISERROR(SEARCH($B$7,AE39)))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34" operator="containsText" id="{61DD7113-3A6B-4797-AC86-78CBBDCB878D}">
            <xm:f>NOT(ISERROR(SEARCH($B$6,AE39)))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35" operator="containsText" id="{0F94D067-290D-4D9C-9CCD-FAE05B1BFCFB}">
            <xm:f>NOT(ISERROR(SEARCH($B$5,AE39)))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36" operator="containsText" id="{7251452C-8D97-40A0-992B-B38B283FF626}">
            <xm:f>NOT(ISERROR(SEARCH($B$4,AE39)))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37" operator="containsText" id="{B16296D4-1D5F-43CC-9CF9-1C2ECDA07362}">
            <xm:f>NOT(ISERROR(SEARCH($B$3,AE39)))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38" operator="containsText" id="{67E23A94-D543-4A99-AF39-09A6EAC3D6F8}">
            <xm:f>NOT(ISERROR(SEARCH($B$18,AE39)))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39" operator="containsText" id="{6EA41BF6-EE8E-46B1-9826-9CF341BD222D}">
            <xm:f>NOT(ISERROR(SEARCH($B$17,AE39)))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40" operator="containsText" id="{4B053519-136F-4057-9679-CC12E3CA7F2A}">
            <xm:f>NOT(ISERROR(SEARCH($B$16,AE39)))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41" operator="containsText" id="{5B7628A0-5FD0-4A44-97B9-7DEDE08E9B72}">
            <xm:f>NOT(ISERROR(SEARCH($B$15,AE39)))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42" operator="containsText" id="{CAD2BF99-09C1-43F3-AE9A-AA7BB8B34A92}">
            <xm:f>NOT(ISERROR(SEARCH($B$14,AE39)))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43" operator="containsText" id="{9DE8556F-0763-43BA-9BA0-1A70B68B7386}">
            <xm:f>NOT(ISERROR(SEARCH($B$13,AE39)))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44" operator="containsText" id="{402A9E55-DBFA-4C86-8D5C-D4FA5D945820}">
            <xm:f>NOT(ISERROR(SEARCH($B$12,AE39)))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AE39:AE42</xm:sqref>
        </x14:conditionalFormatting>
        <x14:conditionalFormatting xmlns:xm="http://schemas.microsoft.com/office/excel/2006/main">
          <x14:cfRule type="containsText" priority="117" operator="containsText" id="{4891407E-65B0-4619-8F35-D5C71378A30F}">
            <xm:f>NOT(ISERROR(SEARCH($B$9,AE45)))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18" operator="containsText" id="{910EA197-B1D2-4FC8-8D95-7C371D89689D}">
            <xm:f>NOT(ISERROR(SEARCH($B$8,AE45)))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19" operator="containsText" id="{35EEF56B-0399-45C6-A68E-E3C6A9C61522}">
            <xm:f>NOT(ISERROR(SEARCH($B$7,AE45)))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20" operator="containsText" id="{D176D535-98AA-46DE-B9D0-699BC1F16C6E}">
            <xm:f>NOT(ISERROR(SEARCH($B$6,AE45)))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21" operator="containsText" id="{63C30DF7-6C52-4599-BA4A-5DFD7A0469A5}">
            <xm:f>NOT(ISERROR(SEARCH($B$5,AE45)))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22" operator="containsText" id="{A01735B3-69C6-4042-B451-07BD1D93BE70}">
            <xm:f>NOT(ISERROR(SEARCH($B$4,AE45)))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23" operator="containsText" id="{141C2965-9ECE-424A-B645-B72E387BC353}">
            <xm:f>NOT(ISERROR(SEARCH($B$3,AE45)))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24" operator="containsText" id="{D936E0CB-AFB5-447C-9636-4CD6B4E5DA5C}">
            <xm:f>NOT(ISERROR(SEARCH($B$18,AE45)))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25" operator="containsText" id="{7239AA82-0FD7-4A9D-B6ED-824852E97D35}">
            <xm:f>NOT(ISERROR(SEARCH($B$17,AE45)))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26" operator="containsText" id="{A5C34753-5E06-4774-B8EF-E4E72A479751}">
            <xm:f>NOT(ISERROR(SEARCH($B$16,AE45)))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27" operator="containsText" id="{5576D352-923E-420A-B814-7C9ADB998C8C}">
            <xm:f>NOT(ISERROR(SEARCH($B$15,AE45)))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28" operator="containsText" id="{4A414443-5F80-4D00-A107-3531B25C3F1E}">
            <xm:f>NOT(ISERROR(SEARCH($B$14,AE45)))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29" operator="containsText" id="{407AEA5F-D758-4B63-94BE-98FA02BC92D6}">
            <xm:f>NOT(ISERROR(SEARCH($B$13,AE45)))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30" operator="containsText" id="{5FBA8B3A-5416-4D41-8AAA-A212C33A6AA9}">
            <xm:f>NOT(ISERROR(SEARCH($B$12,AE45)))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AE45:AE48</xm:sqref>
        </x14:conditionalFormatting>
        <x14:conditionalFormatting xmlns:xm="http://schemas.microsoft.com/office/excel/2006/main">
          <x14:cfRule type="containsText" priority="103" operator="containsText" id="{10336300-BF0D-4DAA-8825-8090CB5EB050}">
            <xm:f>NOT(ISERROR(SEARCH($B$9,AE51)))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04" operator="containsText" id="{73D644BD-F090-41F3-A4B1-6A1BCD33B2F9}">
            <xm:f>NOT(ISERROR(SEARCH($B$8,AE51)))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05" operator="containsText" id="{C2AD6058-AE2F-4B16-ADC5-F96BA3F5EEC8}">
            <xm:f>NOT(ISERROR(SEARCH($B$7,AE51)))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06" operator="containsText" id="{4329D689-EA93-4907-A8F2-E53584AECDD2}">
            <xm:f>NOT(ISERROR(SEARCH($B$6,AE51)))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07" operator="containsText" id="{8FD4B903-183A-4D96-9C7C-3CFBBC376807}">
            <xm:f>NOT(ISERROR(SEARCH($B$5,AE51)))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08" operator="containsText" id="{1CAD63D7-FA27-4D11-865E-3BD7E589101D}">
            <xm:f>NOT(ISERROR(SEARCH($B$4,AE51)))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09" operator="containsText" id="{2C6E56BE-1A21-432F-95FE-C9EB31328E47}">
            <xm:f>NOT(ISERROR(SEARCH($B$3,AE51)))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10" operator="containsText" id="{480FEED3-2D7E-44D4-A3D5-2D723A3DC012}">
            <xm:f>NOT(ISERROR(SEARCH($B$18,AE51)))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11" operator="containsText" id="{602F8CF7-8CC6-4FEB-9835-4DC2654B1A73}">
            <xm:f>NOT(ISERROR(SEARCH($B$17,AE51)))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12" operator="containsText" id="{650F1B7A-77AF-4343-AE9F-F0CD317C527F}">
            <xm:f>NOT(ISERROR(SEARCH($B$16,AE51)))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13" operator="containsText" id="{2CC33F70-2E77-4333-A2CA-A461377980CB}">
            <xm:f>NOT(ISERROR(SEARCH($B$15,AE51)))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14" operator="containsText" id="{6825AC03-B703-41FC-9E7E-D3F57A27D516}">
            <xm:f>NOT(ISERROR(SEARCH($B$14,AE51)))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15" operator="containsText" id="{7CD59066-E0E6-486D-8F26-38DB7AF023E5}">
            <xm:f>NOT(ISERROR(SEARCH($B$13,AE51)))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16" operator="containsText" id="{0956F9E2-2CAB-4431-8CAB-C12FA8C1D169}">
            <xm:f>NOT(ISERROR(SEARCH($B$12,AE51)))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AE51:AE54</xm:sqref>
        </x14:conditionalFormatting>
        <x14:conditionalFormatting xmlns:xm="http://schemas.microsoft.com/office/excel/2006/main">
          <x14:cfRule type="containsText" priority="89" operator="containsText" id="{177449A7-8770-43BB-A540-BA43C59C2181}">
            <xm:f>NOT(ISERROR(SEARCH($B$9,AE57)))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90" operator="containsText" id="{68959C25-1705-4FE6-963C-F32C441046AC}">
            <xm:f>NOT(ISERROR(SEARCH($B$8,AE57)))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91" operator="containsText" id="{F27A1CF3-DEAB-4A71-9DBB-FDE47F5F0A54}">
            <xm:f>NOT(ISERROR(SEARCH($B$7,AE57)))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92" operator="containsText" id="{A6F8E6B2-22D5-44DD-96CC-893EBEA1D808}">
            <xm:f>NOT(ISERROR(SEARCH($B$6,AE57)))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93" operator="containsText" id="{0AFF5D8A-5ED0-499B-943D-4FF1EDD1D511}">
            <xm:f>NOT(ISERROR(SEARCH($B$5,AE57)))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94" operator="containsText" id="{39DE9C67-8699-4E3A-A822-C8A8B4EBE237}">
            <xm:f>NOT(ISERROR(SEARCH($B$4,AE57)))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95" operator="containsText" id="{9B4F831B-B9F6-4259-A4F0-F2F41BE52C5D}">
            <xm:f>NOT(ISERROR(SEARCH($B$3,AE57)))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96" operator="containsText" id="{DF365077-10CC-41A5-AD92-17D7AF32F47B}">
            <xm:f>NOT(ISERROR(SEARCH($B$18,AE57)))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97" operator="containsText" id="{AAD652E4-8BBE-447A-A40E-6245483D5FD5}">
            <xm:f>NOT(ISERROR(SEARCH($B$17,AE57)))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98" operator="containsText" id="{E924A432-C41F-4B1E-A1EC-AD5B23B92901}">
            <xm:f>NOT(ISERROR(SEARCH($B$16,AE57)))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99" operator="containsText" id="{ECB1437B-EF1A-4E29-9FD1-E433A5889EED}">
            <xm:f>NOT(ISERROR(SEARCH($B$15,AE57)))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00" operator="containsText" id="{735ABD3A-D178-49E1-84B7-6C1BBF3C1120}">
            <xm:f>NOT(ISERROR(SEARCH($B$14,AE57)))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01" operator="containsText" id="{31080B4A-B248-4E5C-8638-7C2213C99DF1}">
            <xm:f>NOT(ISERROR(SEARCH($B$13,AE57)))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02" operator="containsText" id="{D58F5A46-7124-4733-9A64-33DDD833DC58}">
            <xm:f>NOT(ISERROR(SEARCH($B$12,AE57)))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AE57:AE60</xm:sqref>
        </x14:conditionalFormatting>
        <x14:conditionalFormatting xmlns:xm="http://schemas.microsoft.com/office/excel/2006/main">
          <x14:cfRule type="containsText" priority="81" operator="containsText" id="{DF582D6A-989F-4D41-8A97-040F4367CB1C}">
            <xm:f>NOT(ISERROR(SEARCH($B$28,V39)))</xm:f>
            <xm:f>$B$28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2" operator="containsText" id="{F09872A0-258B-441F-AA0B-603A092B076C}">
            <xm:f>NOT(ISERROR(SEARCH($B$27,V39)))</xm:f>
            <xm:f>$B$27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3" operator="containsText" id="{70CEA6DC-8A92-4A43-ADB3-65EEF475A3E6}">
            <xm:f>NOT(ISERROR(SEARCH($B$26,V39)))</xm:f>
            <xm:f>$B$26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4" operator="containsText" id="{34308AA0-3C65-4A3B-A87C-FBC0FB525E1C}">
            <xm:f>NOT(ISERROR(SEARCH($B$25,V39)))</xm:f>
            <xm:f>$B$25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5" operator="containsText" id="{AA7A2577-1FD9-4DD2-946F-9A1DE01FE39D}">
            <xm:f>NOT(ISERROR(SEARCH($B$24,V39)))</xm:f>
            <xm:f>$B$24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6" operator="containsText" id="{CD17EC9A-94D4-4B54-9315-21EB5EDB58CC}">
            <xm:f>NOT(ISERROR(SEARCH($B$23,V39)))</xm:f>
            <xm:f>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7" operator="containsText" id="{570F4DB6-DF6E-4735-AA40-F404904767AE}">
            <xm:f>NOT(ISERROR(SEARCH($B$22,V39)))</xm:f>
            <xm:f>$B$22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8" operator="containsText" id="{9CEAD6F5-23D3-4AE0-91B2-A9D446CC9745}">
            <xm:f>NOT(ISERROR(SEARCH($B$21,V39)))</xm:f>
            <xm:f>$B$21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V39:V42</xm:sqref>
        </x14:conditionalFormatting>
        <x14:conditionalFormatting xmlns:xm="http://schemas.microsoft.com/office/excel/2006/main">
          <x14:cfRule type="containsText" priority="67" operator="containsText" id="{5D503392-899B-4FCE-9098-3137DEB0447E}">
            <xm:f>NOT(ISERROR(SEARCH($B$9,V39)))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8" operator="containsText" id="{BA6F8342-21C0-46E7-882A-E5DB3B02441D}">
            <xm:f>NOT(ISERROR(SEARCH($B$8,V39)))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9" operator="containsText" id="{E9D345F6-5A1E-4895-A764-4150B8025790}">
            <xm:f>NOT(ISERROR(SEARCH($B$7,V39)))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70" operator="containsText" id="{ACAAFFEA-CC81-4898-A036-9468AA90973A}">
            <xm:f>NOT(ISERROR(SEARCH($B$6,V39)))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71" operator="containsText" id="{FBAA821C-0A26-4C6F-83F4-70FDAB2ACA63}">
            <xm:f>NOT(ISERROR(SEARCH($B$5,V39)))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72" operator="containsText" id="{7D0290E5-FFFB-4A1B-B574-D8A19BABFDC5}">
            <xm:f>NOT(ISERROR(SEARCH($B$4,V39)))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73" operator="containsText" id="{76DC877E-67E5-41DB-BB6C-BAF214B4BB23}">
            <xm:f>NOT(ISERROR(SEARCH($B$3,V39)))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74" operator="containsText" id="{AED5FC83-92EF-42AE-8140-8DFF21D52657}">
            <xm:f>NOT(ISERROR(SEARCH($B$18,V39)))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75" operator="containsText" id="{1769D6F0-2489-4822-836D-85C6CA99FEC5}">
            <xm:f>NOT(ISERROR(SEARCH($B$17,V39)))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76" operator="containsText" id="{39569643-1DC2-44C4-B943-2420D177E88B}">
            <xm:f>NOT(ISERROR(SEARCH($B$16,V39)))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77" operator="containsText" id="{1B164599-4B4C-48AA-8D77-FC39E6CDD7AF}">
            <xm:f>NOT(ISERROR(SEARCH($B$15,V39)))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78" operator="containsText" id="{5378814E-F093-407E-AC5C-250A24C5F0B8}">
            <xm:f>NOT(ISERROR(SEARCH($B$14,V39)))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79" operator="containsText" id="{CD732B8B-E660-4DE0-9DAE-95109B21BB80}">
            <xm:f>NOT(ISERROR(SEARCH($B$13,V39)))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0" operator="containsText" id="{249F77AB-72D8-4BAE-ADA8-D02919A5F873}">
            <xm:f>NOT(ISERROR(SEARCH($B$12,V39)))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V39:V42</xm:sqref>
        </x14:conditionalFormatting>
        <x14:conditionalFormatting xmlns:xm="http://schemas.microsoft.com/office/excel/2006/main">
          <x14:cfRule type="containsText" priority="59" operator="containsText" id="{22A39E16-D754-44B8-80C1-5781A8ADDC83}">
            <xm:f>NOT(ISERROR(SEARCH($B$28,V45)))</xm:f>
            <xm:f>$B$28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0" operator="containsText" id="{7B8CAA39-496F-490E-BCD6-F4AF9CDBDC84}">
            <xm:f>NOT(ISERROR(SEARCH($B$27,V45)))</xm:f>
            <xm:f>$B$27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1" operator="containsText" id="{374B9770-1404-4392-98BF-6103EC1ACE37}">
            <xm:f>NOT(ISERROR(SEARCH($B$26,V45)))</xm:f>
            <xm:f>$B$26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2" operator="containsText" id="{AAF85369-6BEB-4146-B2DE-8F1691BC0265}">
            <xm:f>NOT(ISERROR(SEARCH($B$25,V45)))</xm:f>
            <xm:f>$B$25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3" operator="containsText" id="{6DA1018F-6840-465E-A935-9FE1F235F0E5}">
            <xm:f>NOT(ISERROR(SEARCH($B$24,V45)))</xm:f>
            <xm:f>$B$24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4" operator="containsText" id="{24F0A961-D98A-44B1-B79E-71C58EF7EDF1}">
            <xm:f>NOT(ISERROR(SEARCH($B$23,V45)))</xm:f>
            <xm:f>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5" operator="containsText" id="{C4B2123B-879B-43D3-B63A-19CCBEBCB7D5}">
            <xm:f>NOT(ISERROR(SEARCH($B$22,V45)))</xm:f>
            <xm:f>$B$22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6" operator="containsText" id="{B4DEA89F-A13A-478D-BE04-3C985EA80A2E}">
            <xm:f>NOT(ISERROR(SEARCH($B$21,V45)))</xm:f>
            <xm:f>$B$21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V45:V48</xm:sqref>
        </x14:conditionalFormatting>
        <x14:conditionalFormatting xmlns:xm="http://schemas.microsoft.com/office/excel/2006/main">
          <x14:cfRule type="containsText" priority="45" operator="containsText" id="{FC53BE53-B748-4A0A-B200-014EE783B165}">
            <xm:f>NOT(ISERROR(SEARCH($B$9,V45)))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6" operator="containsText" id="{1FA1A4EF-58EE-4A1A-8889-6EDF8C0F57B2}">
            <xm:f>NOT(ISERROR(SEARCH($B$8,V45)))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7" operator="containsText" id="{0CA917AF-38E6-4697-943D-241857072F62}">
            <xm:f>NOT(ISERROR(SEARCH($B$7,V45)))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8" operator="containsText" id="{4AF35858-D86F-44F3-A7AD-35AD9651E731}">
            <xm:f>NOT(ISERROR(SEARCH($B$6,V45)))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9" operator="containsText" id="{DCC6CA50-6878-467F-9F9E-E214E13E84FB}">
            <xm:f>NOT(ISERROR(SEARCH($B$5,V45)))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50" operator="containsText" id="{49E4AD05-678A-457B-8BA1-EFD1E8771EC0}">
            <xm:f>NOT(ISERROR(SEARCH($B$4,V45)))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51" operator="containsText" id="{685E58B0-D64D-40AC-91CB-570ABB85D66D}">
            <xm:f>NOT(ISERROR(SEARCH($B$3,V45)))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52" operator="containsText" id="{272F6D00-6B5D-43B6-9C97-2C7820ED44C9}">
            <xm:f>NOT(ISERROR(SEARCH($B$18,V45)))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3" operator="containsText" id="{C9B3276F-E04C-4928-B820-8FD9F977B1B8}">
            <xm:f>NOT(ISERROR(SEARCH($B$17,V45)))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4" operator="containsText" id="{F8FD960B-033F-4327-91CF-4854F049B95B}">
            <xm:f>NOT(ISERROR(SEARCH($B$16,V45)))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5" operator="containsText" id="{4ED45026-35CD-4F9E-A0DC-05B65E031C8C}">
            <xm:f>NOT(ISERROR(SEARCH($B$15,V45)))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6" operator="containsText" id="{5A7EDEBB-DF52-40DA-A5C3-6A4482A8F52B}">
            <xm:f>NOT(ISERROR(SEARCH($B$14,V45)))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7" operator="containsText" id="{6E0BB129-EA4C-435E-AA9B-35EC48756834}">
            <xm:f>NOT(ISERROR(SEARCH($B$13,V45)))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8" operator="containsText" id="{498AA93C-8D51-4C76-88F3-A814617E30B7}">
            <xm:f>NOT(ISERROR(SEARCH($B$12,V45)))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V45:V48</xm:sqref>
        </x14:conditionalFormatting>
        <x14:conditionalFormatting xmlns:xm="http://schemas.microsoft.com/office/excel/2006/main">
          <x14:cfRule type="containsText" priority="37" operator="containsText" id="{A6599B78-CB1C-42D3-838C-DD92B07A5EE6}">
            <xm:f>NOT(ISERROR(SEARCH($B$28,V51)))</xm:f>
            <xm:f>$B$28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8" operator="containsText" id="{78C44353-F42D-4B32-B281-8FF8A5F6A148}">
            <xm:f>NOT(ISERROR(SEARCH($B$27,V51)))</xm:f>
            <xm:f>$B$27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9" operator="containsText" id="{4EF55D94-CA40-4A31-BE8D-14C403A7CB65}">
            <xm:f>NOT(ISERROR(SEARCH($B$26,V51)))</xm:f>
            <xm:f>$B$26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0" operator="containsText" id="{C7B8DD35-BC32-440B-816A-00D917591C58}">
            <xm:f>NOT(ISERROR(SEARCH($B$25,V51)))</xm:f>
            <xm:f>$B$25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1" operator="containsText" id="{D998062C-28A1-48F3-B6A2-F872B6EFC97A}">
            <xm:f>NOT(ISERROR(SEARCH($B$24,V51)))</xm:f>
            <xm:f>$B$24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2" operator="containsText" id="{AB5E19E4-678D-41FB-91AC-514CA1E2306A}">
            <xm:f>NOT(ISERROR(SEARCH($B$23,V51)))</xm:f>
            <xm:f>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3" operator="containsText" id="{51E7007F-24FE-441F-BC23-5E5874B52CFB}">
            <xm:f>NOT(ISERROR(SEARCH($B$22,V51)))</xm:f>
            <xm:f>$B$22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4" operator="containsText" id="{7873F0A4-3286-443E-8F27-D56946260B09}">
            <xm:f>NOT(ISERROR(SEARCH($B$21,V51)))</xm:f>
            <xm:f>$B$21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V51:V54</xm:sqref>
        </x14:conditionalFormatting>
        <x14:conditionalFormatting xmlns:xm="http://schemas.microsoft.com/office/excel/2006/main">
          <x14:cfRule type="containsText" priority="23" operator="containsText" id="{0B07404B-2D0C-407F-921B-F37F046B998A}">
            <xm:f>NOT(ISERROR(SEARCH($B$9,V51)))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4" operator="containsText" id="{A0E178A6-01FD-45FA-89F1-8598A392C0DF}">
            <xm:f>NOT(ISERROR(SEARCH($B$8,V51)))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5" operator="containsText" id="{972D19A1-B0D7-4A84-952A-739E6E0EDC27}">
            <xm:f>NOT(ISERROR(SEARCH($B$7,V51)))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6" operator="containsText" id="{63F7F43F-4AF9-437C-9DFD-0E0BB8F06519}">
            <xm:f>NOT(ISERROR(SEARCH($B$6,V51)))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7" operator="containsText" id="{07602300-7197-4A39-84F4-8F8AB352D146}">
            <xm:f>NOT(ISERROR(SEARCH($B$5,V51)))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8" operator="containsText" id="{8CCF0E07-801F-43C4-A44A-5ACA2673861E}">
            <xm:f>NOT(ISERROR(SEARCH($B$4,V51)))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9" operator="containsText" id="{9503CB30-CBE7-416F-A008-8BB645EB501B}">
            <xm:f>NOT(ISERROR(SEARCH($B$3,V51)))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0" operator="containsText" id="{99CD2998-C11C-4F92-8EDE-310D429AE280}">
            <xm:f>NOT(ISERROR(SEARCH($B$18,V51)))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1" operator="containsText" id="{9BB1119A-653B-4741-90BA-2DA7585633C9}">
            <xm:f>NOT(ISERROR(SEARCH($B$17,V51)))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2" operator="containsText" id="{7222E295-1150-49B8-9833-E8BB7B94DFC3}">
            <xm:f>NOT(ISERROR(SEARCH($B$16,V51)))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3" operator="containsText" id="{1641B008-0D63-4CD2-B1E1-A15F1070181A}">
            <xm:f>NOT(ISERROR(SEARCH($B$15,V51)))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4" operator="containsText" id="{0DDA4DF6-DC20-43DF-B4E0-2F401DB6CFA9}">
            <xm:f>NOT(ISERROR(SEARCH($B$14,V51)))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5" operator="containsText" id="{71E464F2-8257-40B8-A509-DF70062A534A}">
            <xm:f>NOT(ISERROR(SEARCH($B$13,V51)))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6" operator="containsText" id="{97442A1E-754E-4A44-853F-EC18D965C58D}">
            <xm:f>NOT(ISERROR(SEARCH($B$12,V51)))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V51:V54</xm:sqref>
        </x14:conditionalFormatting>
        <x14:conditionalFormatting xmlns:xm="http://schemas.microsoft.com/office/excel/2006/main">
          <x14:cfRule type="containsText" priority="15" operator="containsText" id="{7384E015-EED6-4323-8BFB-96C1AF6B2ACA}">
            <xm:f>NOT(ISERROR(SEARCH($B$28,V57)))</xm:f>
            <xm:f>$B$28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6" operator="containsText" id="{7E44C8B7-956D-40CA-8D33-E1C42AE5DFF0}">
            <xm:f>NOT(ISERROR(SEARCH($B$27,V57)))</xm:f>
            <xm:f>$B$27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AD404DAB-557E-4885-85DD-BA1EF5B931D2}">
            <xm:f>NOT(ISERROR(SEARCH($B$26,V57)))</xm:f>
            <xm:f>$B$26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8" operator="containsText" id="{B562290A-E6DD-4C51-8E39-98F3D9137EA4}">
            <xm:f>NOT(ISERROR(SEARCH($B$25,V57)))</xm:f>
            <xm:f>$B$25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9" operator="containsText" id="{2E2C1C2F-E208-4ED4-962B-50FA5AF5080C}">
            <xm:f>NOT(ISERROR(SEARCH($B$24,V57)))</xm:f>
            <xm:f>$B$24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0" operator="containsText" id="{157738E2-54F1-4E6C-A6DC-BCE884DA1926}">
            <xm:f>NOT(ISERROR(SEARCH($B$23,V57)))</xm:f>
            <xm:f>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1" operator="containsText" id="{CD05CE1C-26FF-4306-A46B-46871EE682F2}">
            <xm:f>NOT(ISERROR(SEARCH($B$22,V57)))</xm:f>
            <xm:f>$B$22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2" operator="containsText" id="{5C13D161-E829-4330-8C0F-7A65F5DF0F82}">
            <xm:f>NOT(ISERROR(SEARCH($B$21,V57)))</xm:f>
            <xm:f>$B$21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V57:V60</xm:sqref>
        </x14:conditionalFormatting>
        <x14:conditionalFormatting xmlns:xm="http://schemas.microsoft.com/office/excel/2006/main">
          <x14:cfRule type="containsText" priority="1" operator="containsText" id="{1A542872-82EA-4790-950B-6FDAFDB100C5}">
            <xm:f>NOT(ISERROR(SEARCH($B$9,V57)))</xm:f>
            <xm:f>$B$9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" operator="containsText" id="{B3E45204-ED1F-40FB-B6EC-C5F757A502B3}">
            <xm:f>NOT(ISERROR(SEARCH($B$8,V57)))</xm:f>
            <xm:f>$B$8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" operator="containsText" id="{9FFAD8A3-9BF2-43B9-B72B-84B79D9F43D8}">
            <xm:f>NOT(ISERROR(SEARCH($B$7,V57)))</xm:f>
            <xm:f>$B$7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" operator="containsText" id="{A44D9BAE-40F6-4391-9BE7-F7B39788ABD9}">
            <xm:f>NOT(ISERROR(SEARCH($B$6,V57)))</xm:f>
            <xm:f>$B$6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5" operator="containsText" id="{4E8D791B-9C55-4CD7-9184-D8C1DB93FAEC}">
            <xm:f>NOT(ISERROR(SEARCH($B$5,V57)))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" operator="containsText" id="{37B9A27D-B4FC-4E58-9A62-DD5C32EBE18A}">
            <xm:f>NOT(ISERROR(SEARCH($B$4,V57)))</xm:f>
            <xm:f>$B$4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7" operator="containsText" id="{DF9B6119-A0F9-490C-AD36-C566B24D266E}">
            <xm:f>NOT(ISERROR(SEARCH($B$3,V57)))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8" operator="containsText" id="{F5C8CA69-83CF-4738-98BC-71C6BE56164F}">
            <xm:f>NOT(ISERROR(SEARCH($B$18,V57)))</xm:f>
            <xm:f>$B$18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9" operator="containsText" id="{8318828E-950D-42FF-8A0A-B1408607A4D8}">
            <xm:f>NOT(ISERROR(SEARCH($B$17,V57)))</xm:f>
            <xm:f>$B$17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0" operator="containsText" id="{D5046408-8251-41FE-B082-4CB4A7218575}">
            <xm:f>NOT(ISERROR(SEARCH($B$16,V57)))</xm:f>
            <xm:f>$B$16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1" operator="containsText" id="{6F240B12-18C7-4AF1-9272-72BA82FA8BE9}">
            <xm:f>NOT(ISERROR(SEARCH($B$15,V57)))</xm:f>
            <xm:f>$B$15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2" operator="containsText" id="{879B2E85-931C-48FD-96ED-689785523609}">
            <xm:f>NOT(ISERROR(SEARCH($B$14,V57)))</xm:f>
            <xm:f>$B$14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3" operator="containsText" id="{9B770840-D887-4AD0-AFA3-0B79AD761AFB}">
            <xm:f>NOT(ISERROR(SEARCH($B$13,V57)))</xm:f>
            <xm:f>$B$13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4" operator="containsText" id="{C4E2438C-8CDE-4652-83E0-76EEC14834FA}">
            <xm:f>NOT(ISERROR(SEARCH($B$12,V57)))</xm:f>
            <xm:f>$B$12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V57:V60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F4FD29FC-05CE-4715-A968-BBC3DE74EFD7}">
          <x14:formula1>
            <xm:f>'PROGRAM JADWAL GENAP'!$F$47:$F$51</xm:f>
          </x14:formula1>
          <xm:sqref>C41 L41 U41 AD41</xm:sqref>
        </x14:dataValidation>
        <x14:dataValidation type="list" allowBlank="1" showInputMessage="1" showErrorMessage="1" xr:uid="{419BB5CD-86CD-496E-94FF-A978D75E7B09}">
          <x14:formula1>
            <xm:f>'PROGRAM JADWAL GENAP'!$F$64:$F$67</xm:f>
          </x14:formula1>
          <xm:sqref>C46 AD46 U46 L46</xm:sqref>
        </x14:dataValidation>
        <x14:dataValidation type="list" allowBlank="1" showInputMessage="1" showErrorMessage="1" xr:uid="{B035325E-F7F4-4689-AF01-24336D49A276}">
          <x14:formula1>
            <xm:f>'PROGRAM JADWAL GENAP'!$F$84:$F$88</xm:f>
          </x14:formula1>
          <xm:sqref>C51 AD51 U51 L51</xm:sqref>
        </x14:dataValidation>
        <x14:dataValidation type="list" allowBlank="1" showInputMessage="1" showErrorMessage="1" xr:uid="{AF45403F-D816-453D-8015-4D7D4C26CE0F}">
          <x14:formula1>
            <xm:f>'PROGRAM JADWAL GENAP'!$F$103:$F$107</xm:f>
          </x14:formula1>
          <xm:sqref>C54 AD54 U54 L54</xm:sqref>
        </x14:dataValidation>
        <x14:dataValidation type="list" allowBlank="1" showInputMessage="1" showErrorMessage="1" xr:uid="{229C2B54-1012-41F9-AE4B-6A26151D6FCC}">
          <x14:formula1>
            <xm:f>'PROGRAM JADWAL GENAP'!$F$77:$F$81</xm:f>
          </x14:formula1>
          <xm:sqref>C48 L48 U48 AD48</xm:sqref>
        </x14:dataValidation>
        <x14:dataValidation type="list" allowBlank="1" showInputMessage="1" showErrorMessage="1" xr:uid="{7BDAB07F-F5E1-40EF-8090-2B5FB663871E}">
          <x14:formula1>
            <xm:f>'PROGRAM JADWAL GENAP'!$F$41:$F$45</xm:f>
          </x14:formula1>
          <xm:sqref>C40 AD40 U40 L40</xm:sqref>
        </x14:dataValidation>
        <x14:dataValidation type="list" allowBlank="1" showInputMessage="1" showErrorMessage="1" xr:uid="{279A8615-7501-44B0-8E12-CAF6CC9797FF}">
          <x14:formula1>
            <xm:f>'PROGRAM JADWAL GENAP'!$F$58:$F$63</xm:f>
          </x14:formula1>
          <xm:sqref>C45 L45 U45 AD45</xm:sqref>
        </x14:dataValidation>
        <x14:dataValidation type="list" allowBlank="1" showInputMessage="1" showErrorMessage="1" xr:uid="{9F78C5C8-A1E0-41B8-95D1-F937EA5AFD39}">
          <x14:formula1>
            <xm:f>'PROGRAM JADWAL GENAP'!$F$97:$F$100</xm:f>
          </x14:formula1>
          <xm:sqref>C53 L53 U53 AD53</xm:sqref>
        </x14:dataValidation>
        <x14:dataValidation type="list" allowBlank="1" showInputMessage="1" showErrorMessage="1" xr:uid="{FF096E20-CFCD-4D9C-8A5F-B981B980ECD9}">
          <x14:formula1>
            <xm:f>'PROGRAM JADWAL GENAP'!$F$110:$F$113</xm:f>
          </x14:formula1>
          <xm:sqref>C58 L58 U58 AD58</xm:sqref>
        </x14:dataValidation>
        <x14:dataValidation type="list" allowBlank="1" showInputMessage="1" showErrorMessage="1" xr:uid="{0674629F-7E87-4885-AC6E-B36919814CD1}">
          <x14:formula1>
            <xm:f>'PROGRAM JADWAL GENAP'!#REF!</xm:f>
          </x14:formula1>
          <xm:sqref>C57 AD57 U57 L57</xm:sqref>
        </x14:dataValidation>
        <x14:dataValidation type="list" allowBlank="1" showInputMessage="1" showErrorMessage="1" xr:uid="{C5A306B9-17B7-41C6-88FF-D53E6766EDE4}">
          <x14:formula1>
            <xm:f>'PROGRAM JADWAL GENAP'!$F$123:$F$126</xm:f>
          </x14:formula1>
          <xm:sqref>C60 AD60 U60 L60</xm:sqref>
        </x14:dataValidation>
        <x14:dataValidation type="list" allowBlank="1" showInputMessage="1" showErrorMessage="1" xr:uid="{6898CB27-3F07-4A02-8DCB-DFF3BBC5A73D}">
          <x14:formula1>
            <xm:f>'PROGRAM JADWAL GENAP'!$F$7:$F$11</xm:f>
          </x14:formula1>
          <xm:sqref>C33 AD33:AD36 L33 U33</xm:sqref>
        </x14:dataValidation>
        <x14:dataValidation type="list" allowBlank="1" showInputMessage="1" showErrorMessage="1" xr:uid="{ED0BA2C5-3DEC-4E40-9D56-FB1D7A001B2E}">
          <x14:formula1>
            <xm:f>'PROGRAM JADWAL GENAP'!$F$115:$F$119</xm:f>
          </x14:formula1>
          <xm:sqref>C59 L59 U59 AD59</xm:sqref>
        </x14:dataValidation>
        <x14:dataValidation type="list" allowBlank="1" showInputMessage="1" showErrorMessage="1" xr:uid="{B2E6E200-4722-46A7-BF48-6218CABBA7A0}">
          <x14:formula1>
            <xm:f>'PROGRAM JADWAL GENAP'!$F$33:$F$38</xm:f>
          </x14:formula1>
          <xm:sqref>C39 AD39 U39 L39</xm:sqref>
        </x14:dataValidation>
        <x14:dataValidation type="list" allowBlank="1" showInputMessage="1" showErrorMessage="1" xr:uid="{C2811AF5-E823-4910-A0C3-FDC2855775F8}">
          <x14:formula1>
            <xm:f>'PROGRAM JADWAL GENAP'!$F$20:$F$25</xm:f>
          </x14:formula1>
          <xm:sqref>C35 L35 U35</xm:sqref>
        </x14:dataValidation>
        <x14:dataValidation type="list" allowBlank="1" showInputMessage="1" showErrorMessage="1" xr:uid="{08B6DF68-FDFA-4A19-B93F-AA50847F4F0C}">
          <x14:formula1>
            <xm:f>'PROGRAM JADWAL GENAP'!$F$92:$F$95</xm:f>
          </x14:formula1>
          <xm:sqref>C52 AD52 U52 L52</xm:sqref>
        </x14:dataValidation>
        <x14:dataValidation type="list" allowBlank="1" showInputMessage="1" showErrorMessage="1" xr:uid="{6E974F17-B899-4543-8341-A2F23E37A281}">
          <x14:formula1>
            <xm:f>'PROGRAM JADWAL GENAP'!$F$71:$F$75</xm:f>
          </x14:formula1>
          <xm:sqref>C47 L47 U47 AD47</xm:sqref>
        </x14:dataValidation>
        <x14:dataValidation type="list" allowBlank="1" showInputMessage="1" showErrorMessage="1" xr:uid="{384FD622-BFFE-4B31-9B7E-140E8793F9B4}">
          <x14:formula1>
            <xm:f>'PROGRAM JADWAL GENAP'!$F$28:$F$31</xm:f>
          </x14:formula1>
          <xm:sqref>C36 L36 U36</xm:sqref>
        </x14:dataValidation>
        <x14:dataValidation type="list" allowBlank="1" showInputMessage="1" showErrorMessage="1" xr:uid="{0A70E452-9B09-449E-AC34-484B98FA0200}">
          <x14:formula1>
            <xm:f>'PROGRAM JADWAL GENAP'!$F$53:$F$55</xm:f>
          </x14:formula1>
          <xm:sqref>C42 L42 U42 AD42</xm:sqref>
        </x14:dataValidation>
        <x14:dataValidation type="list" allowBlank="1" showInputMessage="1" showErrorMessage="1" xr:uid="{9413FF07-8D31-48AD-A94B-8FA7F0C9D236}">
          <x14:formula1>
            <xm:f>'PROGRAM JADWAL GENAP'!$F$15:$F$17</xm:f>
          </x14:formula1>
          <xm:sqref>C34 L34 U34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E113-5CF9-48A0-8A48-BA0B224D010D}">
  <dimension ref="A1:N80"/>
  <sheetViews>
    <sheetView topLeftCell="A4" workbookViewId="0">
      <selection activeCell="I9" sqref="I9:L15"/>
    </sheetView>
  </sheetViews>
  <sheetFormatPr defaultRowHeight="13.8" x14ac:dyDescent="0.25"/>
  <cols>
    <col min="1" max="1" width="14.77734375" style="74" bestFit="1" customWidth="1"/>
    <col min="2" max="2" width="31.44140625" style="74" customWidth="1"/>
    <col min="3" max="3" width="6.88671875" style="74" customWidth="1"/>
    <col min="4" max="4" width="6.77734375" style="74" customWidth="1"/>
    <col min="5" max="5" width="16.5546875" style="74" bestFit="1" customWidth="1"/>
    <col min="6" max="7" width="12.6640625" style="74" customWidth="1"/>
    <col min="8" max="8" width="8.88671875" style="74"/>
    <col min="9" max="9" width="14.21875" style="74" bestFit="1" customWidth="1"/>
    <col min="10" max="10" width="29.6640625" style="74" customWidth="1"/>
    <col min="11" max="11" width="12.44140625" style="74" customWidth="1"/>
    <col min="12" max="12" width="14.21875" style="74" customWidth="1"/>
    <col min="13" max="13" width="17.33203125" style="74" customWidth="1"/>
    <col min="14" max="14" width="12.6640625" style="74" customWidth="1"/>
    <col min="15" max="16384" width="8.88671875" style="74"/>
  </cols>
  <sheetData>
    <row r="1" spans="1:14" ht="25.05" customHeight="1" x14ac:dyDescent="0.25">
      <c r="A1" s="82" t="s">
        <v>84</v>
      </c>
      <c r="B1" s="83" t="s">
        <v>85</v>
      </c>
      <c r="C1" s="82" t="s">
        <v>82</v>
      </c>
      <c r="D1" s="82" t="s">
        <v>83</v>
      </c>
      <c r="E1" s="82" t="s">
        <v>207</v>
      </c>
      <c r="F1" s="82" t="s">
        <v>209</v>
      </c>
      <c r="G1" s="114" t="s">
        <v>375</v>
      </c>
      <c r="I1" s="80" t="s">
        <v>84</v>
      </c>
      <c r="J1" s="81" t="s">
        <v>85</v>
      </c>
      <c r="K1" s="80" t="s">
        <v>82</v>
      </c>
      <c r="L1" s="80" t="s">
        <v>83</v>
      </c>
      <c r="M1" s="80" t="s">
        <v>211</v>
      </c>
      <c r="N1" s="82" t="s">
        <v>209</v>
      </c>
    </row>
    <row r="2" spans="1:14" ht="25.05" customHeight="1" x14ac:dyDescent="0.25">
      <c r="A2" s="112" t="s">
        <v>345</v>
      </c>
      <c r="B2" s="112" t="s">
        <v>346</v>
      </c>
      <c r="C2" s="77">
        <v>1</v>
      </c>
      <c r="D2" s="77">
        <v>2</v>
      </c>
      <c r="E2" s="78"/>
      <c r="F2" s="79" t="s">
        <v>210</v>
      </c>
      <c r="G2" s="79"/>
      <c r="I2" s="75" t="s">
        <v>10</v>
      </c>
      <c r="J2" s="75" t="s">
        <v>11</v>
      </c>
      <c r="K2" s="77">
        <v>2</v>
      </c>
      <c r="L2" s="77">
        <v>2</v>
      </c>
      <c r="M2" s="78"/>
      <c r="N2" s="79" t="s">
        <v>212</v>
      </c>
    </row>
    <row r="3" spans="1:14" ht="25.05" customHeight="1" x14ac:dyDescent="0.25">
      <c r="A3" s="112" t="s">
        <v>12</v>
      </c>
      <c r="B3" s="112" t="s">
        <v>347</v>
      </c>
      <c r="C3" s="77">
        <v>1</v>
      </c>
      <c r="D3" s="77">
        <v>3</v>
      </c>
      <c r="E3" s="78"/>
      <c r="F3" s="79" t="s">
        <v>210</v>
      </c>
      <c r="G3" s="79"/>
      <c r="I3" s="75" t="s">
        <v>525</v>
      </c>
      <c r="J3" s="75" t="s">
        <v>524</v>
      </c>
      <c r="K3" s="77">
        <v>2</v>
      </c>
      <c r="L3" s="77">
        <v>2</v>
      </c>
      <c r="M3" s="78"/>
      <c r="N3" s="79" t="s">
        <v>212</v>
      </c>
    </row>
    <row r="4" spans="1:14" ht="25.05" customHeight="1" x14ac:dyDescent="0.25">
      <c r="A4" s="75" t="s">
        <v>0</v>
      </c>
      <c r="B4" s="76" t="s">
        <v>1</v>
      </c>
      <c r="C4" s="77">
        <v>1</v>
      </c>
      <c r="D4" s="77">
        <v>2</v>
      </c>
      <c r="E4" s="78"/>
      <c r="F4" s="79" t="s">
        <v>210</v>
      </c>
      <c r="G4" s="79"/>
      <c r="I4" s="75" t="s">
        <v>13</v>
      </c>
      <c r="J4" s="75" t="s">
        <v>14</v>
      </c>
      <c r="K4" s="77">
        <v>2</v>
      </c>
      <c r="L4" s="77">
        <v>3</v>
      </c>
      <c r="M4" s="78"/>
      <c r="N4" s="79" t="s">
        <v>212</v>
      </c>
    </row>
    <row r="5" spans="1:14" ht="25.05" customHeight="1" x14ac:dyDescent="0.25">
      <c r="A5" s="75" t="s">
        <v>2</v>
      </c>
      <c r="B5" s="75" t="s">
        <v>3</v>
      </c>
      <c r="C5" s="77">
        <v>1</v>
      </c>
      <c r="D5" s="77">
        <v>3</v>
      </c>
      <c r="E5" s="78"/>
      <c r="F5" s="79" t="s">
        <v>210</v>
      </c>
      <c r="G5" s="79"/>
      <c r="I5" s="75" t="s">
        <v>15</v>
      </c>
      <c r="J5" s="75" t="s">
        <v>16</v>
      </c>
      <c r="K5" s="77">
        <v>2</v>
      </c>
      <c r="L5" s="77">
        <v>3</v>
      </c>
      <c r="M5" s="78" t="str">
        <f>A5</f>
        <v>INF-55201-101</v>
      </c>
      <c r="N5" s="79" t="s">
        <v>212</v>
      </c>
    </row>
    <row r="6" spans="1:14" ht="25.05" customHeight="1" x14ac:dyDescent="0.25">
      <c r="A6" s="75" t="s">
        <v>4</v>
      </c>
      <c r="B6" s="75" t="s">
        <v>5</v>
      </c>
      <c r="C6" s="77">
        <v>1</v>
      </c>
      <c r="D6" s="77">
        <v>3</v>
      </c>
      <c r="E6" s="78"/>
      <c r="F6" s="79" t="s">
        <v>210</v>
      </c>
      <c r="G6" s="79"/>
      <c r="I6" s="75" t="s">
        <v>17</v>
      </c>
      <c r="J6" s="75" t="s">
        <v>18</v>
      </c>
      <c r="K6" s="77">
        <v>2</v>
      </c>
      <c r="L6" s="77">
        <v>3</v>
      </c>
      <c r="M6" s="78"/>
      <c r="N6" s="79" t="s">
        <v>212</v>
      </c>
    </row>
    <row r="7" spans="1:14" ht="25.05" customHeight="1" x14ac:dyDescent="0.25">
      <c r="A7" s="75" t="s">
        <v>6</v>
      </c>
      <c r="B7" s="75" t="s">
        <v>7</v>
      </c>
      <c r="C7" s="77">
        <v>1</v>
      </c>
      <c r="D7" s="77">
        <v>4</v>
      </c>
      <c r="E7" s="78"/>
      <c r="F7" s="79" t="s">
        <v>210</v>
      </c>
      <c r="G7" s="79"/>
      <c r="I7" s="75" t="s">
        <v>19</v>
      </c>
      <c r="J7" s="75" t="s">
        <v>20</v>
      </c>
      <c r="K7" s="77">
        <v>2</v>
      </c>
      <c r="L7" s="77">
        <v>3</v>
      </c>
      <c r="M7" s="78"/>
      <c r="N7" s="79" t="s">
        <v>212</v>
      </c>
    </row>
    <row r="8" spans="1:14" ht="25.05" customHeight="1" x14ac:dyDescent="0.25">
      <c r="A8" s="75" t="s">
        <v>8</v>
      </c>
      <c r="B8" s="75" t="s">
        <v>9</v>
      </c>
      <c r="C8" s="77">
        <v>1</v>
      </c>
      <c r="D8" s="77">
        <v>2</v>
      </c>
      <c r="E8" s="78"/>
      <c r="F8" s="79" t="s">
        <v>210</v>
      </c>
      <c r="G8" s="79"/>
      <c r="I8" s="75" t="s">
        <v>21</v>
      </c>
      <c r="J8" s="75" t="s">
        <v>22</v>
      </c>
      <c r="K8" s="77">
        <v>2</v>
      </c>
      <c r="L8" s="77">
        <v>4</v>
      </c>
      <c r="M8" s="78" t="str">
        <f>A7</f>
        <v>INF-55201-103</v>
      </c>
      <c r="N8" s="79" t="s">
        <v>212</v>
      </c>
    </row>
    <row r="9" spans="1:14" ht="25.05" customHeight="1" x14ac:dyDescent="0.25">
      <c r="A9" s="75" t="s">
        <v>23</v>
      </c>
      <c r="B9" s="75" t="s">
        <v>24</v>
      </c>
      <c r="C9" s="77">
        <v>3</v>
      </c>
      <c r="D9" s="77">
        <v>2</v>
      </c>
      <c r="E9" s="78"/>
      <c r="F9" s="79" t="s">
        <v>210</v>
      </c>
      <c r="G9" s="79"/>
      <c r="I9" s="75" t="s">
        <v>37</v>
      </c>
      <c r="J9" s="75" t="s">
        <v>38</v>
      </c>
      <c r="K9" s="77">
        <v>4</v>
      </c>
      <c r="L9" s="77">
        <v>4</v>
      </c>
      <c r="M9" s="78" t="str">
        <f>A9</f>
        <v>INF-55201-201</v>
      </c>
      <c r="N9" s="79" t="s">
        <v>212</v>
      </c>
    </row>
    <row r="10" spans="1:14" ht="25.05" customHeight="1" x14ac:dyDescent="0.25">
      <c r="A10" s="75" t="s">
        <v>25</v>
      </c>
      <c r="B10" s="75" t="s">
        <v>26</v>
      </c>
      <c r="C10" s="77">
        <v>3</v>
      </c>
      <c r="D10" s="77">
        <v>2</v>
      </c>
      <c r="E10" s="78"/>
      <c r="F10" s="79" t="s">
        <v>210</v>
      </c>
      <c r="G10" s="79"/>
      <c r="I10" s="75" t="s">
        <v>39</v>
      </c>
      <c r="J10" s="75" t="s">
        <v>40</v>
      </c>
      <c r="K10" s="77">
        <v>4</v>
      </c>
      <c r="L10" s="77">
        <v>2</v>
      </c>
      <c r="M10" s="78" t="str">
        <f>A10</f>
        <v>INF-55201-202</v>
      </c>
      <c r="N10" s="79" t="s">
        <v>212</v>
      </c>
    </row>
    <row r="11" spans="1:14" ht="25.05" customHeight="1" x14ac:dyDescent="0.25">
      <c r="A11" s="75" t="s">
        <v>27</v>
      </c>
      <c r="B11" s="75" t="s">
        <v>28</v>
      </c>
      <c r="C11" s="77">
        <v>3</v>
      </c>
      <c r="D11" s="77">
        <v>3</v>
      </c>
      <c r="E11" s="78"/>
      <c r="F11" s="79" t="s">
        <v>210</v>
      </c>
      <c r="G11" s="79"/>
      <c r="I11" s="75" t="s">
        <v>41</v>
      </c>
      <c r="J11" s="75" t="s">
        <v>42</v>
      </c>
      <c r="K11" s="77">
        <v>4</v>
      </c>
      <c r="L11" s="77">
        <v>3</v>
      </c>
      <c r="M11" s="78" t="str">
        <f>A13</f>
        <v>INF-55201-205</v>
      </c>
      <c r="N11" s="79" t="s">
        <v>212</v>
      </c>
    </row>
    <row r="12" spans="1:14" ht="25.05" customHeight="1" x14ac:dyDescent="0.25">
      <c r="A12" s="75" t="s">
        <v>29</v>
      </c>
      <c r="B12" s="75" t="s">
        <v>30</v>
      </c>
      <c r="C12" s="77">
        <v>3</v>
      </c>
      <c r="D12" s="77">
        <v>3</v>
      </c>
      <c r="E12" s="78"/>
      <c r="F12" s="79" t="s">
        <v>210</v>
      </c>
      <c r="G12" s="79"/>
      <c r="I12" s="75" t="s">
        <v>43</v>
      </c>
      <c r="J12" s="75" t="s">
        <v>44</v>
      </c>
      <c r="K12" s="77">
        <v>4</v>
      </c>
      <c r="L12" s="77">
        <v>4</v>
      </c>
      <c r="M12" s="78" t="str">
        <f>A14</f>
        <v>INF-55201-206</v>
      </c>
      <c r="N12" s="79" t="s">
        <v>212</v>
      </c>
    </row>
    <row r="13" spans="1:14" ht="25.05" customHeight="1" x14ac:dyDescent="0.25">
      <c r="A13" s="75" t="s">
        <v>31</v>
      </c>
      <c r="B13" s="75" t="s">
        <v>32</v>
      </c>
      <c r="C13" s="77">
        <v>3</v>
      </c>
      <c r="D13" s="77">
        <v>4</v>
      </c>
      <c r="E13" s="78"/>
      <c r="F13" s="79" t="s">
        <v>210</v>
      </c>
      <c r="G13" s="79"/>
      <c r="I13" s="75" t="s">
        <v>45</v>
      </c>
      <c r="J13" s="75" t="s">
        <v>46</v>
      </c>
      <c r="K13" s="77">
        <v>4</v>
      </c>
      <c r="L13" s="77">
        <v>3</v>
      </c>
      <c r="M13" s="78"/>
      <c r="N13" s="79" t="s">
        <v>212</v>
      </c>
    </row>
    <row r="14" spans="1:14" ht="25.05" customHeight="1" x14ac:dyDescent="0.25">
      <c r="A14" s="75" t="s">
        <v>33</v>
      </c>
      <c r="B14" s="75" t="s">
        <v>34</v>
      </c>
      <c r="C14" s="77">
        <v>3</v>
      </c>
      <c r="D14" s="77">
        <v>4</v>
      </c>
      <c r="E14" s="78" t="str">
        <f>I8</f>
        <v>INF-55201-109</v>
      </c>
      <c r="F14" s="79" t="s">
        <v>210</v>
      </c>
      <c r="G14" s="79"/>
      <c r="I14" s="75" t="s">
        <v>47</v>
      </c>
      <c r="J14" s="75" t="s">
        <v>48</v>
      </c>
      <c r="K14" s="77">
        <v>4</v>
      </c>
      <c r="L14" s="77">
        <v>2</v>
      </c>
      <c r="M14" s="78"/>
      <c r="N14" s="79" t="s">
        <v>212</v>
      </c>
    </row>
    <row r="15" spans="1:14" ht="25.05" customHeight="1" x14ac:dyDescent="0.25">
      <c r="A15" s="75" t="s">
        <v>35</v>
      </c>
      <c r="B15" s="75" t="s">
        <v>36</v>
      </c>
      <c r="C15" s="77">
        <v>3</v>
      </c>
      <c r="D15" s="77">
        <v>3</v>
      </c>
      <c r="E15" s="78" t="str">
        <f>I6</f>
        <v>INF-55201-107</v>
      </c>
      <c r="F15" s="79" t="s">
        <v>210</v>
      </c>
      <c r="G15" s="79"/>
      <c r="I15" s="75" t="s">
        <v>49</v>
      </c>
      <c r="J15" s="75" t="s">
        <v>50</v>
      </c>
      <c r="K15" s="77">
        <v>4</v>
      </c>
      <c r="L15" s="77">
        <v>3</v>
      </c>
      <c r="M15" s="78"/>
      <c r="N15" s="79" t="s">
        <v>212</v>
      </c>
    </row>
    <row r="16" spans="1:14" ht="25.05" customHeight="1" x14ac:dyDescent="0.25">
      <c r="A16" s="75" t="s">
        <v>51</v>
      </c>
      <c r="B16" s="75" t="s">
        <v>52</v>
      </c>
      <c r="C16" s="77">
        <v>5</v>
      </c>
      <c r="D16" s="77">
        <v>2</v>
      </c>
      <c r="E16" s="78"/>
      <c r="F16" s="79" t="s">
        <v>210</v>
      </c>
      <c r="G16" s="79"/>
      <c r="I16" s="75" t="s">
        <v>67</v>
      </c>
      <c r="J16" s="75" t="s">
        <v>68</v>
      </c>
      <c r="K16" s="77">
        <v>6</v>
      </c>
      <c r="L16" s="77">
        <v>2</v>
      </c>
      <c r="M16" s="78"/>
      <c r="N16" s="79" t="s">
        <v>212</v>
      </c>
    </row>
    <row r="17" spans="1:14" ht="25.05" customHeight="1" x14ac:dyDescent="0.25">
      <c r="A17" s="75" t="s">
        <v>53</v>
      </c>
      <c r="B17" s="75" t="s">
        <v>54</v>
      </c>
      <c r="C17" s="77">
        <v>5</v>
      </c>
      <c r="D17" s="77">
        <v>4</v>
      </c>
      <c r="E17" s="78"/>
      <c r="F17" s="79" t="s">
        <v>210</v>
      </c>
      <c r="G17" s="79"/>
      <c r="I17" s="93" t="str">
        <f>E52</f>
        <v>INF­55201­516</v>
      </c>
      <c r="J17" s="93" t="str">
        <f>B52</f>
        <v xml:space="preserve">Data  Mining  </v>
      </c>
      <c r="K17" s="94">
        <v>6</v>
      </c>
      <c r="L17" s="94">
        <f>D52</f>
        <v>3</v>
      </c>
      <c r="M17" s="95" t="str">
        <f>A22</f>
        <v>INF-55201-310</v>
      </c>
      <c r="N17" s="96" t="s">
        <v>212</v>
      </c>
    </row>
    <row r="18" spans="1:14" ht="25.05" customHeight="1" x14ac:dyDescent="0.25">
      <c r="A18" s="75" t="s">
        <v>55</v>
      </c>
      <c r="B18" s="75" t="s">
        <v>56</v>
      </c>
      <c r="C18" s="77">
        <v>5</v>
      </c>
      <c r="D18" s="77">
        <v>3</v>
      </c>
      <c r="E18" s="78"/>
      <c r="F18" s="79" t="s">
        <v>210</v>
      </c>
      <c r="G18" s="79"/>
      <c r="I18" s="75" t="s">
        <v>71</v>
      </c>
      <c r="J18" s="75" t="s">
        <v>72</v>
      </c>
      <c r="K18" s="77">
        <v>6</v>
      </c>
      <c r="L18" s="77">
        <v>3</v>
      </c>
      <c r="M18" s="78"/>
      <c r="N18" s="79" t="s">
        <v>212</v>
      </c>
    </row>
    <row r="19" spans="1:14" ht="25.05" customHeight="1" x14ac:dyDescent="0.25">
      <c r="A19" s="75" t="s">
        <v>57</v>
      </c>
      <c r="B19" s="75" t="s">
        <v>58</v>
      </c>
      <c r="C19" s="77">
        <v>5</v>
      </c>
      <c r="D19" s="77">
        <v>3</v>
      </c>
      <c r="E19" s="78"/>
      <c r="F19" s="79" t="s">
        <v>210</v>
      </c>
      <c r="G19" s="79"/>
      <c r="I19" s="75" t="s">
        <v>73</v>
      </c>
      <c r="J19" s="75" t="s">
        <v>74</v>
      </c>
      <c r="K19" s="77">
        <v>6</v>
      </c>
      <c r="L19" s="77">
        <v>2</v>
      </c>
      <c r="M19" s="78"/>
      <c r="N19" s="79" t="s">
        <v>212</v>
      </c>
    </row>
    <row r="20" spans="1:14" ht="25.05" customHeight="1" x14ac:dyDescent="0.25">
      <c r="A20" s="75" t="s">
        <v>59</v>
      </c>
      <c r="B20" s="75" t="s">
        <v>60</v>
      </c>
      <c r="C20" s="77">
        <v>5</v>
      </c>
      <c r="D20" s="77">
        <v>3</v>
      </c>
      <c r="E20" s="78"/>
      <c r="F20" s="79" t="s">
        <v>210</v>
      </c>
      <c r="G20" s="79"/>
      <c r="I20" s="75" t="s">
        <v>75</v>
      </c>
      <c r="J20" s="75" t="s">
        <v>76</v>
      </c>
      <c r="K20" s="77">
        <v>6</v>
      </c>
      <c r="L20" s="77">
        <v>3</v>
      </c>
      <c r="M20" s="78"/>
      <c r="N20" s="79" t="s">
        <v>212</v>
      </c>
    </row>
    <row r="21" spans="1:14" ht="25.05" customHeight="1" x14ac:dyDescent="0.25">
      <c r="A21" s="75" t="s">
        <v>61</v>
      </c>
      <c r="B21" s="75" t="s">
        <v>62</v>
      </c>
      <c r="C21" s="77">
        <v>5</v>
      </c>
      <c r="D21" s="77">
        <v>2</v>
      </c>
      <c r="E21" s="78"/>
      <c r="F21" s="79" t="s">
        <v>210</v>
      </c>
      <c r="G21" s="79"/>
      <c r="I21" s="75" t="s">
        <v>77</v>
      </c>
      <c r="J21" s="75" t="str">
        <f>"MK Pilihan Wajib  Jaringan ("&amp;B45&amp;")"</f>
        <v>MK Pilihan Wajib  Jaringan (Jaringan  Nirkabel  )</v>
      </c>
      <c r="K21" s="77">
        <v>6</v>
      </c>
      <c r="L21" s="77">
        <v>3</v>
      </c>
      <c r="M21" s="78"/>
      <c r="N21" s="79" t="s">
        <v>212</v>
      </c>
    </row>
    <row r="22" spans="1:14" ht="25.05" customHeight="1" x14ac:dyDescent="0.25">
      <c r="A22" s="75" t="s">
        <v>63</v>
      </c>
      <c r="B22" s="75" t="s">
        <v>64</v>
      </c>
      <c r="C22" s="77">
        <v>5</v>
      </c>
      <c r="D22" s="77">
        <v>2</v>
      </c>
      <c r="E22" s="78"/>
      <c r="F22" s="79" t="s">
        <v>210</v>
      </c>
      <c r="G22" s="79"/>
      <c r="I22" s="75" t="s">
        <v>78</v>
      </c>
      <c r="J22" s="75" t="s">
        <v>79</v>
      </c>
      <c r="K22" s="77">
        <v>6</v>
      </c>
      <c r="L22" s="77">
        <v>3</v>
      </c>
      <c r="M22" s="78"/>
      <c r="N22" s="79" t="s">
        <v>212</v>
      </c>
    </row>
    <row r="23" spans="1:14" ht="25.05" customHeight="1" x14ac:dyDescent="0.25">
      <c r="A23" s="75" t="s">
        <v>65</v>
      </c>
      <c r="B23" s="75" t="s">
        <v>66</v>
      </c>
      <c r="C23" s="77">
        <v>5</v>
      </c>
      <c r="D23" s="77">
        <v>2</v>
      </c>
      <c r="E23" s="78"/>
      <c r="F23" s="79" t="s">
        <v>210</v>
      </c>
      <c r="G23" s="79"/>
      <c r="I23" s="75" t="s">
        <v>80</v>
      </c>
      <c r="J23" s="75" t="s">
        <v>81</v>
      </c>
      <c r="K23" s="77">
        <v>6</v>
      </c>
      <c r="L23" s="77">
        <v>4</v>
      </c>
      <c r="M23" s="78" t="str">
        <f>A21</f>
        <v>INF-55201-306</v>
      </c>
      <c r="N23" s="79" t="s">
        <v>212</v>
      </c>
    </row>
    <row r="24" spans="1:14" ht="25.05" customHeight="1" x14ac:dyDescent="0.25">
      <c r="A24" s="75" t="s">
        <v>86</v>
      </c>
      <c r="B24" s="75" t="s">
        <v>87</v>
      </c>
      <c r="C24" s="77">
        <v>7</v>
      </c>
      <c r="D24" s="77">
        <v>3</v>
      </c>
      <c r="E24" s="78"/>
      <c r="F24" s="79" t="s">
        <v>210</v>
      </c>
      <c r="G24" s="79"/>
      <c r="I24" s="93" t="str">
        <f>E49</f>
        <v>INF­55201­513</v>
      </c>
      <c r="J24" s="93" t="str">
        <f>B49</f>
        <v xml:space="preserve">Rekayasa  Pengetahuan  </v>
      </c>
      <c r="K24" s="94">
        <v>8</v>
      </c>
      <c r="L24" s="94">
        <f>D49</f>
        <v>3</v>
      </c>
      <c r="M24" s="95" t="str">
        <f>A31</f>
        <v>INF-55201-406</v>
      </c>
      <c r="N24" s="96" t="s">
        <v>212</v>
      </c>
    </row>
    <row r="25" spans="1:14" ht="25.05" customHeight="1" x14ac:dyDescent="0.25">
      <c r="A25" s="93" t="s">
        <v>88</v>
      </c>
      <c r="B25" s="93" t="s">
        <v>89</v>
      </c>
      <c r="C25" s="94">
        <v>7</v>
      </c>
      <c r="D25" s="94">
        <v>2</v>
      </c>
      <c r="E25" s="95"/>
      <c r="F25" s="96" t="s">
        <v>210</v>
      </c>
      <c r="G25" s="79"/>
      <c r="I25" s="75" t="s">
        <v>69</v>
      </c>
      <c r="J25" s="75" t="s">
        <v>70</v>
      </c>
      <c r="K25" s="77">
        <v>6</v>
      </c>
      <c r="L25" s="77">
        <v>2</v>
      </c>
      <c r="M25" s="78" t="str">
        <f>A30</f>
        <v>INF­55201­534</v>
      </c>
      <c r="N25" s="79" t="s">
        <v>212</v>
      </c>
    </row>
    <row r="26" spans="1:14" ht="25.05" customHeight="1" x14ac:dyDescent="0.25">
      <c r="A26" s="89" t="str">
        <f>IF(Table1[[#This Row],[Nama MK]]="","",(VLOOKUP(Table1[[#This Row],[Nama MK]],Table5[SMT]:Table5[],4,)))</f>
        <v>INF­55201­540</v>
      </c>
      <c r="B26" s="89" t="s">
        <v>291</v>
      </c>
      <c r="C26" s="90">
        <f>IF(Table1[[#This Row],[Nama MK]]="","",(VLOOKUP(Table1[[#This Row],[Nama MK]],Table5[SMT]:Table5[],2,)))</f>
        <v>7</v>
      </c>
      <c r="D26" s="90">
        <f>IF(Table1[[#This Row],[Nama MK]]="","",(VLOOKUP(Table1[[#This Row],[Nama MK]],Table5[SMT]:Table5[],3,)))</f>
        <v>3</v>
      </c>
      <c r="E26" s="91" t="str">
        <f>IF(Table1[[#This Row],[Nama MK]]="","",(VLOOKUP(Table1[[#This Row],[Nama MK]],Table5[SMT]:Table5[],5,)))</f>
        <v>Pilihan</v>
      </c>
      <c r="F26" s="92" t="s">
        <v>210</v>
      </c>
      <c r="G26" s="79"/>
      <c r="I26" s="75" t="s">
        <v>92</v>
      </c>
      <c r="J26" s="75" t="s">
        <v>93</v>
      </c>
      <c r="K26" s="77">
        <v>8</v>
      </c>
      <c r="L26" s="77">
        <v>4</v>
      </c>
      <c r="M26" s="78">
        <f>A33</f>
        <v>0</v>
      </c>
      <c r="N26" s="79" t="s">
        <v>212</v>
      </c>
    </row>
    <row r="27" spans="1:14" ht="25.05" customHeight="1" x14ac:dyDescent="0.25">
      <c r="A27" s="89" t="str">
        <f>IF(Table1[[#This Row],[Nama MK]]="","",(VLOOKUP(Table1[[#This Row],[Nama MK]],Table5[SMT]:Table5[],4,)))</f>
        <v>INF­55201­523</v>
      </c>
      <c r="B27" s="89" t="s">
        <v>258</v>
      </c>
      <c r="C27" s="90">
        <v>7</v>
      </c>
      <c r="D27" s="90">
        <f>IF(Table1[[#This Row],[Nama MK]]="","",(VLOOKUP(Table1[[#This Row],[Nama MK]],Table5[SMT]:Table5[],3,)))</f>
        <v>3</v>
      </c>
      <c r="E27" s="91" t="str">
        <f>IF(Table1[[#This Row],[Nama MK]]="","",(VLOOKUP(Table1[[#This Row],[Nama MK]],Table5[SMT]:Table5[],5,)))</f>
        <v>Pilihan</v>
      </c>
      <c r="F27" s="92" t="s">
        <v>210</v>
      </c>
      <c r="G27" s="79"/>
    </row>
    <row r="28" spans="1:14" ht="25.05" customHeight="1" x14ac:dyDescent="0.25">
      <c r="A28" s="89" t="str">
        <f>IF(Table1[[#This Row],[Nama MK]]="","",(VLOOKUP(Table1[[#This Row],[Nama MK]],Table5[SMT]:Table5[],4,)))</f>
        <v>INF­55201­533</v>
      </c>
      <c r="B28" s="89" t="s">
        <v>277</v>
      </c>
      <c r="C28" s="90">
        <v>7</v>
      </c>
      <c r="D28" s="90">
        <f>IF(Table1[[#This Row],[Nama MK]]="","",(VLOOKUP(Table1[[#This Row],[Nama MK]],Table5[SMT]:Table5[],3,)))</f>
        <v>3</v>
      </c>
      <c r="E28" s="91" t="str">
        <f>IF(Table1[[#This Row],[Nama MK]]="","",(VLOOKUP(Table1[[#This Row],[Nama MK]],Table5[SMT]:Table5[],5,)))</f>
        <v>Pilihan</v>
      </c>
      <c r="F28" s="92" t="s">
        <v>210</v>
      </c>
      <c r="G28" s="79"/>
    </row>
    <row r="29" spans="1:14" ht="25.05" customHeight="1" x14ac:dyDescent="0.25">
      <c r="A29" s="89" t="str">
        <f>IF(Table1[[#This Row],[Nama MK]]="","",(VLOOKUP(Table1[[#This Row],[Nama MK]],Table5[SMT]:Table5[],4,)))</f>
        <v>INF­55201­531</v>
      </c>
      <c r="B29" s="89" t="s">
        <v>273</v>
      </c>
      <c r="C29" s="90">
        <v>7</v>
      </c>
      <c r="D29" s="90">
        <f>IF(Table1[[#This Row],[Nama MK]]="","",(VLOOKUP(Table1[[#This Row],[Nama MK]],Table5[SMT]:Table5[],3,)))</f>
        <v>3</v>
      </c>
      <c r="E29" s="91" t="str">
        <f>IF(Table1[[#This Row],[Nama MK]]="","",(VLOOKUP(Table1[[#This Row],[Nama MK]],Table5[SMT]:Table5[],5,)))</f>
        <v>Pilihan</v>
      </c>
      <c r="F29" s="92" t="s">
        <v>210</v>
      </c>
      <c r="G29" s="79"/>
    </row>
    <row r="30" spans="1:14" ht="25.05" customHeight="1" x14ac:dyDescent="0.25">
      <c r="A30" s="89" t="str">
        <f>IF(Table1[[#This Row],[Nama MK]]="","",(VLOOKUP(Table1[[#This Row],[Nama MK]],Table5[SMT]:Table5[],4,)))</f>
        <v>INF­55201­534</v>
      </c>
      <c r="B30" s="89" t="s">
        <v>279</v>
      </c>
      <c r="C30" s="90">
        <v>7</v>
      </c>
      <c r="D30" s="90">
        <f>IF(Table1[[#This Row],[Nama MK]]="","",(VLOOKUP(Table1[[#This Row],[Nama MK]],Table5[SMT]:Table5[],3,)))</f>
        <v>3</v>
      </c>
      <c r="E30" s="91" t="str">
        <f>IF(Table1[[#This Row],[Nama MK]]="","",(VLOOKUP(Table1[[#This Row],[Nama MK]],Table5[SMT]:Table5[],5,)))</f>
        <v>Pilihan</v>
      </c>
      <c r="F30" s="92" t="s">
        <v>210</v>
      </c>
      <c r="G30" s="79"/>
    </row>
    <row r="31" spans="1:14" ht="25.05" customHeight="1" x14ac:dyDescent="0.25">
      <c r="A31" s="93" t="s">
        <v>90</v>
      </c>
      <c r="B31" s="93" t="s">
        <v>91</v>
      </c>
      <c r="C31" s="94">
        <v>7</v>
      </c>
      <c r="D31" s="94">
        <v>2</v>
      </c>
      <c r="E31" s="95" t="str">
        <f>I17</f>
        <v>INF­55201­516</v>
      </c>
      <c r="F31" s="96" t="s">
        <v>210</v>
      </c>
      <c r="G31" s="79"/>
    </row>
    <row r="32" spans="1:14" ht="25.05" customHeight="1" x14ac:dyDescent="0.25">
      <c r="A32" s="75"/>
      <c r="B32" s="75"/>
      <c r="C32" s="77"/>
      <c r="D32" s="77"/>
      <c r="E32" s="78"/>
      <c r="F32" s="79"/>
      <c r="G32" s="79"/>
    </row>
    <row r="35" spans="2:12" ht="14.4" thickBot="1" x14ac:dyDescent="0.3"/>
    <row r="36" spans="2:12" ht="25.05" customHeight="1" thickBot="1" x14ac:dyDescent="0.35">
      <c r="B36" s="79" t="s">
        <v>148</v>
      </c>
      <c r="C36" s="79" t="s">
        <v>82</v>
      </c>
      <c r="D36" s="79" t="s">
        <v>83</v>
      </c>
      <c r="E36" s="86" t="s">
        <v>84</v>
      </c>
      <c r="F36" s="79" t="s">
        <v>208</v>
      </c>
      <c r="G36" s="79"/>
      <c r="H36" s="173" t="s">
        <v>176</v>
      </c>
      <c r="I36" s="174" t="s">
        <v>84</v>
      </c>
      <c r="J36" s="174" t="s">
        <v>85</v>
      </c>
      <c r="K36" s="174" t="s">
        <v>428</v>
      </c>
      <c r="L36" s="174" t="s">
        <v>209</v>
      </c>
    </row>
    <row r="37" spans="2:12" ht="29.4" thickBot="1" x14ac:dyDescent="0.35">
      <c r="B37" s="85" t="s">
        <v>214</v>
      </c>
      <c r="C37" s="79">
        <v>7</v>
      </c>
      <c r="D37" s="84">
        <v>3</v>
      </c>
      <c r="E37" s="87" t="s">
        <v>213</v>
      </c>
      <c r="F37" s="79" t="s">
        <v>300</v>
      </c>
      <c r="G37" s="79"/>
      <c r="H37" s="181" t="s">
        <v>182</v>
      </c>
      <c r="I37" s="177" t="s">
        <v>213</v>
      </c>
      <c r="J37" s="180" t="s">
        <v>449</v>
      </c>
      <c r="K37" s="167">
        <v>3</v>
      </c>
      <c r="L37" s="166" t="s">
        <v>300</v>
      </c>
    </row>
    <row r="38" spans="2:12" ht="25.05" customHeight="1" thickBot="1" x14ac:dyDescent="0.35">
      <c r="B38" s="85" t="s">
        <v>216</v>
      </c>
      <c r="C38" s="79">
        <v>7</v>
      </c>
      <c r="D38" s="84">
        <v>3</v>
      </c>
      <c r="E38" s="84" t="s">
        <v>215</v>
      </c>
      <c r="F38" s="79" t="s">
        <v>300</v>
      </c>
      <c r="G38" s="79"/>
      <c r="H38" s="181" t="s">
        <v>183</v>
      </c>
      <c r="I38" s="179" t="s">
        <v>215</v>
      </c>
      <c r="J38" s="168" t="s">
        <v>450</v>
      </c>
      <c r="K38" s="167">
        <v>3</v>
      </c>
      <c r="L38" s="166" t="s">
        <v>300</v>
      </c>
    </row>
    <row r="39" spans="2:12" ht="29.4" thickBot="1" x14ac:dyDescent="0.35">
      <c r="B39" s="85" t="s">
        <v>218</v>
      </c>
      <c r="C39" s="79">
        <v>7</v>
      </c>
      <c r="D39" s="84">
        <v>3</v>
      </c>
      <c r="E39" s="87" t="s">
        <v>217</v>
      </c>
      <c r="F39" s="79" t="s">
        <v>300</v>
      </c>
      <c r="G39" s="79"/>
      <c r="H39" s="181" t="s">
        <v>184</v>
      </c>
      <c r="I39" s="177" t="s">
        <v>217</v>
      </c>
      <c r="J39" s="180" t="s">
        <v>451</v>
      </c>
      <c r="K39" s="167">
        <v>3</v>
      </c>
      <c r="L39" s="166" t="s">
        <v>300</v>
      </c>
    </row>
    <row r="40" spans="2:12" ht="25.05" customHeight="1" thickBot="1" x14ac:dyDescent="0.35">
      <c r="B40" s="85" t="s">
        <v>220</v>
      </c>
      <c r="C40" s="79">
        <v>7</v>
      </c>
      <c r="D40" s="84">
        <v>3</v>
      </c>
      <c r="E40" s="84" t="s">
        <v>219</v>
      </c>
      <c r="F40" s="79" t="s">
        <v>300</v>
      </c>
      <c r="G40" s="79"/>
      <c r="H40" s="181" t="s">
        <v>185</v>
      </c>
      <c r="I40" s="179" t="s">
        <v>219</v>
      </c>
      <c r="J40" s="168" t="s">
        <v>452</v>
      </c>
      <c r="K40" s="167">
        <v>3</v>
      </c>
      <c r="L40" s="166" t="s">
        <v>300</v>
      </c>
    </row>
    <row r="41" spans="2:12" ht="25.05" customHeight="1" thickBot="1" x14ac:dyDescent="0.35">
      <c r="B41" s="85" t="s">
        <v>222</v>
      </c>
      <c r="C41" s="79">
        <v>7</v>
      </c>
      <c r="D41" s="84">
        <v>3</v>
      </c>
      <c r="E41" s="87" t="s">
        <v>221</v>
      </c>
      <c r="F41" s="79" t="s">
        <v>300</v>
      </c>
      <c r="G41" s="79"/>
      <c r="H41" s="181" t="s">
        <v>186</v>
      </c>
      <c r="I41" s="177" t="s">
        <v>221</v>
      </c>
      <c r="J41" s="180" t="s">
        <v>453</v>
      </c>
      <c r="K41" s="167">
        <v>3</v>
      </c>
      <c r="L41" s="166" t="s">
        <v>300</v>
      </c>
    </row>
    <row r="42" spans="2:12" ht="25.05" customHeight="1" thickBot="1" x14ac:dyDescent="0.35">
      <c r="B42" s="85" t="s">
        <v>224</v>
      </c>
      <c r="C42" s="79">
        <v>7</v>
      </c>
      <c r="D42" s="84">
        <v>3</v>
      </c>
      <c r="E42" s="84" t="s">
        <v>223</v>
      </c>
      <c r="F42" s="79" t="s">
        <v>300</v>
      </c>
      <c r="G42" s="79"/>
      <c r="H42" s="181" t="s">
        <v>187</v>
      </c>
      <c r="I42" s="166" t="s">
        <v>429</v>
      </c>
      <c r="J42" s="166" t="s">
        <v>430</v>
      </c>
      <c r="K42" s="167">
        <v>3</v>
      </c>
      <c r="L42" s="166" t="s">
        <v>300</v>
      </c>
    </row>
    <row r="43" spans="2:12" ht="25.05" customHeight="1" thickBot="1" x14ac:dyDescent="0.35">
      <c r="B43" s="85" t="s">
        <v>226</v>
      </c>
      <c r="C43" s="79">
        <v>7</v>
      </c>
      <c r="D43" s="84">
        <v>3</v>
      </c>
      <c r="E43" s="87" t="s">
        <v>225</v>
      </c>
      <c r="F43" s="79" t="s">
        <v>300</v>
      </c>
      <c r="G43" s="79"/>
      <c r="H43" s="181" t="s">
        <v>188</v>
      </c>
      <c r="I43" s="177" t="s">
        <v>225</v>
      </c>
      <c r="J43" s="180" t="s">
        <v>454</v>
      </c>
      <c r="K43" s="167">
        <v>3</v>
      </c>
      <c r="L43" s="166" t="s">
        <v>300</v>
      </c>
    </row>
    <row r="44" spans="2:12" ht="25.05" customHeight="1" thickBot="1" x14ac:dyDescent="0.35">
      <c r="B44" s="85" t="s">
        <v>228</v>
      </c>
      <c r="C44" s="79">
        <v>7</v>
      </c>
      <c r="D44" s="84">
        <v>3</v>
      </c>
      <c r="E44" s="84" t="s">
        <v>227</v>
      </c>
      <c r="F44" s="79" t="s">
        <v>300</v>
      </c>
      <c r="G44" s="79"/>
      <c r="H44" s="181" t="s">
        <v>189</v>
      </c>
      <c r="I44" s="179" t="s">
        <v>227</v>
      </c>
      <c r="J44" s="168" t="s">
        <v>455</v>
      </c>
      <c r="K44" s="167">
        <v>3</v>
      </c>
      <c r="L44" s="166" t="s">
        <v>300</v>
      </c>
    </row>
    <row r="45" spans="2:12" ht="15" thickBot="1" x14ac:dyDescent="0.35">
      <c r="B45" s="85" t="s">
        <v>230</v>
      </c>
      <c r="C45" s="79">
        <v>7</v>
      </c>
      <c r="D45" s="84">
        <v>3</v>
      </c>
      <c r="E45" s="87" t="s">
        <v>229</v>
      </c>
      <c r="F45" s="79" t="s">
        <v>300</v>
      </c>
      <c r="G45" s="79"/>
      <c r="H45" s="181" t="s">
        <v>190</v>
      </c>
      <c r="I45" s="177" t="s">
        <v>229</v>
      </c>
      <c r="J45" s="180" t="s">
        <v>456</v>
      </c>
      <c r="K45" s="167">
        <v>3</v>
      </c>
      <c r="L45" s="166" t="s">
        <v>300</v>
      </c>
    </row>
    <row r="46" spans="2:12" ht="29.4" thickBot="1" x14ac:dyDescent="0.35">
      <c r="B46" s="85" t="s">
        <v>232</v>
      </c>
      <c r="C46" s="79">
        <v>7</v>
      </c>
      <c r="D46" s="84">
        <v>3</v>
      </c>
      <c r="E46" s="84" t="s">
        <v>231</v>
      </c>
      <c r="F46" s="79" t="s">
        <v>300</v>
      </c>
      <c r="G46" s="79"/>
      <c r="H46" s="181" t="s">
        <v>191</v>
      </c>
      <c r="I46" s="179" t="s">
        <v>231</v>
      </c>
      <c r="J46" s="168" t="s">
        <v>457</v>
      </c>
      <c r="K46" s="167">
        <v>3</v>
      </c>
      <c r="L46" s="166" t="s">
        <v>300</v>
      </c>
    </row>
    <row r="47" spans="2:12" ht="25.05" customHeight="1" thickBot="1" x14ac:dyDescent="0.35">
      <c r="B47" s="85" t="s">
        <v>234</v>
      </c>
      <c r="C47" s="79">
        <v>7</v>
      </c>
      <c r="D47" s="84">
        <v>3</v>
      </c>
      <c r="E47" s="87" t="s">
        <v>233</v>
      </c>
      <c r="F47" s="79" t="s">
        <v>300</v>
      </c>
      <c r="G47" s="79"/>
      <c r="H47" s="181" t="s">
        <v>192</v>
      </c>
      <c r="I47" s="169" t="s">
        <v>233</v>
      </c>
      <c r="J47" s="170" t="s">
        <v>458</v>
      </c>
      <c r="K47" s="167">
        <v>3</v>
      </c>
      <c r="L47" s="166" t="s">
        <v>300</v>
      </c>
    </row>
    <row r="48" spans="2:12" ht="25.05" customHeight="1" thickBot="1" x14ac:dyDescent="0.35">
      <c r="B48" s="85" t="s">
        <v>236</v>
      </c>
      <c r="C48" s="79">
        <v>7</v>
      </c>
      <c r="D48" s="84">
        <v>3</v>
      </c>
      <c r="E48" s="84" t="s">
        <v>235</v>
      </c>
      <c r="F48" s="79" t="s">
        <v>300</v>
      </c>
      <c r="G48" s="79"/>
      <c r="H48" s="181" t="s">
        <v>193</v>
      </c>
      <c r="I48" s="171" t="s">
        <v>235</v>
      </c>
      <c r="J48" s="172" t="s">
        <v>459</v>
      </c>
      <c r="K48" s="167">
        <v>3</v>
      </c>
      <c r="L48" s="166" t="s">
        <v>300</v>
      </c>
    </row>
    <row r="49" spans="2:12" ht="25.05" customHeight="1" thickBot="1" x14ac:dyDescent="0.35">
      <c r="B49" s="85" t="s">
        <v>238</v>
      </c>
      <c r="C49" s="79">
        <v>7</v>
      </c>
      <c r="D49" s="84">
        <v>3</v>
      </c>
      <c r="E49" s="87" t="s">
        <v>237</v>
      </c>
      <c r="F49" s="79" t="s">
        <v>300</v>
      </c>
      <c r="G49" s="79"/>
      <c r="H49" s="181" t="s">
        <v>194</v>
      </c>
      <c r="I49" s="169" t="s">
        <v>237</v>
      </c>
      <c r="J49" s="170" t="s">
        <v>460</v>
      </c>
      <c r="K49" s="167">
        <v>3</v>
      </c>
      <c r="L49" s="166" t="s">
        <v>300</v>
      </c>
    </row>
    <row r="50" spans="2:12" ht="25.05" customHeight="1" thickBot="1" x14ac:dyDescent="0.35">
      <c r="B50" s="85" t="s">
        <v>240</v>
      </c>
      <c r="C50" s="79">
        <v>7</v>
      </c>
      <c r="D50" s="84">
        <v>3</v>
      </c>
      <c r="E50" s="84" t="s">
        <v>239</v>
      </c>
      <c r="F50" s="79" t="s">
        <v>300</v>
      </c>
      <c r="G50" s="79"/>
      <c r="H50" s="181" t="s">
        <v>195</v>
      </c>
      <c r="I50" s="171" t="s">
        <v>239</v>
      </c>
      <c r="J50" s="172" t="s">
        <v>461</v>
      </c>
      <c r="K50" s="167">
        <v>3</v>
      </c>
      <c r="L50" s="166" t="s">
        <v>300</v>
      </c>
    </row>
    <row r="51" spans="2:12" ht="29.4" thickBot="1" x14ac:dyDescent="0.35">
      <c r="B51" s="85" t="s">
        <v>242</v>
      </c>
      <c r="C51" s="79">
        <v>7</v>
      </c>
      <c r="D51" s="84">
        <v>3</v>
      </c>
      <c r="E51" s="87" t="s">
        <v>241</v>
      </c>
      <c r="F51" s="79" t="s">
        <v>300</v>
      </c>
      <c r="G51" s="79"/>
      <c r="H51" s="181" t="s">
        <v>196</v>
      </c>
      <c r="I51" s="178" t="s">
        <v>431</v>
      </c>
      <c r="J51" s="178" t="s">
        <v>432</v>
      </c>
      <c r="K51" s="167">
        <v>3</v>
      </c>
      <c r="L51" s="166" t="s">
        <v>300</v>
      </c>
    </row>
    <row r="52" spans="2:12" ht="25.05" customHeight="1" thickBot="1" x14ac:dyDescent="0.35">
      <c r="B52" s="85" t="s">
        <v>246</v>
      </c>
      <c r="C52" s="79">
        <v>7</v>
      </c>
      <c r="D52" s="84">
        <v>3</v>
      </c>
      <c r="E52" s="84" t="s">
        <v>243</v>
      </c>
      <c r="F52" s="79" t="s">
        <v>300</v>
      </c>
      <c r="G52" s="79"/>
      <c r="H52" s="181" t="s">
        <v>197</v>
      </c>
      <c r="I52" s="178" t="s">
        <v>433</v>
      </c>
      <c r="J52" s="178" t="s">
        <v>434</v>
      </c>
      <c r="K52" s="167">
        <v>3</v>
      </c>
      <c r="L52" s="166" t="s">
        <v>300</v>
      </c>
    </row>
    <row r="53" spans="2:12" ht="25.05" customHeight="1" thickBot="1" x14ac:dyDescent="0.35">
      <c r="B53" s="85" t="s">
        <v>244</v>
      </c>
      <c r="C53" s="79">
        <v>7</v>
      </c>
      <c r="D53" s="84">
        <v>3</v>
      </c>
      <c r="E53" s="87" t="s">
        <v>245</v>
      </c>
      <c r="F53" s="79" t="s">
        <v>300</v>
      </c>
      <c r="G53" s="79"/>
      <c r="H53" s="181" t="s">
        <v>198</v>
      </c>
      <c r="I53" s="171" t="s">
        <v>247</v>
      </c>
      <c r="J53" s="172" t="s">
        <v>462</v>
      </c>
      <c r="K53" s="167">
        <v>3</v>
      </c>
      <c r="L53" s="166" t="s">
        <v>300</v>
      </c>
    </row>
    <row r="54" spans="2:12" ht="25.05" customHeight="1" thickBot="1" x14ac:dyDescent="0.35">
      <c r="B54" s="85" t="s">
        <v>248</v>
      </c>
      <c r="C54" s="79">
        <v>7</v>
      </c>
      <c r="D54" s="84">
        <v>3</v>
      </c>
      <c r="E54" s="84" t="s">
        <v>247</v>
      </c>
      <c r="F54" s="79" t="s">
        <v>300</v>
      </c>
      <c r="G54" s="79"/>
      <c r="H54" s="181" t="s">
        <v>199</v>
      </c>
      <c r="I54" s="169" t="s">
        <v>249</v>
      </c>
      <c r="J54" s="170" t="s">
        <v>250</v>
      </c>
      <c r="K54" s="167">
        <v>3</v>
      </c>
      <c r="L54" s="166" t="s">
        <v>300</v>
      </c>
    </row>
    <row r="55" spans="2:12" ht="25.05" customHeight="1" thickBot="1" x14ac:dyDescent="0.35">
      <c r="B55" s="85" t="s">
        <v>250</v>
      </c>
      <c r="C55" s="79">
        <v>7</v>
      </c>
      <c r="D55" s="84">
        <v>3</v>
      </c>
      <c r="E55" s="87" t="s">
        <v>249</v>
      </c>
      <c r="F55" s="79" t="s">
        <v>300</v>
      </c>
      <c r="G55" s="79"/>
      <c r="H55" s="181" t="s">
        <v>200</v>
      </c>
      <c r="I55" s="171" t="s">
        <v>251</v>
      </c>
      <c r="J55" s="172" t="s">
        <v>463</v>
      </c>
      <c r="K55" s="167">
        <v>3</v>
      </c>
      <c r="L55" s="166" t="s">
        <v>300</v>
      </c>
    </row>
    <row r="56" spans="2:12" ht="25.05" customHeight="1" thickBot="1" x14ac:dyDescent="0.35">
      <c r="B56" s="85" t="s">
        <v>252</v>
      </c>
      <c r="C56" s="79">
        <v>7</v>
      </c>
      <c r="D56" s="84">
        <v>3</v>
      </c>
      <c r="E56" s="84" t="s">
        <v>251</v>
      </c>
      <c r="F56" s="79" t="s">
        <v>300</v>
      </c>
      <c r="G56" s="79"/>
      <c r="H56" s="181" t="s">
        <v>201</v>
      </c>
      <c r="I56" s="169" t="s">
        <v>253</v>
      </c>
      <c r="J56" s="170" t="s">
        <v>464</v>
      </c>
      <c r="K56" s="167">
        <v>3</v>
      </c>
      <c r="L56" s="166" t="s">
        <v>300</v>
      </c>
    </row>
    <row r="57" spans="2:12" ht="29.4" thickBot="1" x14ac:dyDescent="0.35">
      <c r="B57" s="85" t="s">
        <v>254</v>
      </c>
      <c r="C57" s="79">
        <v>7</v>
      </c>
      <c r="D57" s="84">
        <v>3</v>
      </c>
      <c r="E57" s="87" t="s">
        <v>253</v>
      </c>
      <c r="F57" s="79" t="s">
        <v>300</v>
      </c>
      <c r="G57" s="79"/>
      <c r="H57" s="181" t="s">
        <v>202</v>
      </c>
      <c r="I57" s="171" t="s">
        <v>255</v>
      </c>
      <c r="J57" s="172" t="s">
        <v>465</v>
      </c>
      <c r="K57" s="167">
        <v>3</v>
      </c>
      <c r="L57" s="166" t="s">
        <v>300</v>
      </c>
    </row>
    <row r="58" spans="2:12" ht="25.05" customHeight="1" thickBot="1" x14ac:dyDescent="0.35">
      <c r="B58" s="85" t="s">
        <v>256</v>
      </c>
      <c r="C58" s="79">
        <v>7</v>
      </c>
      <c r="D58" s="84">
        <v>3</v>
      </c>
      <c r="E58" s="84" t="s">
        <v>255</v>
      </c>
      <c r="F58" s="79" t="s">
        <v>300</v>
      </c>
      <c r="G58" s="79"/>
      <c r="H58" s="181" t="s">
        <v>203</v>
      </c>
      <c r="I58" s="178" t="s">
        <v>435</v>
      </c>
      <c r="J58" s="178" t="s">
        <v>436</v>
      </c>
      <c r="K58" s="167">
        <v>3</v>
      </c>
      <c r="L58" s="166" t="s">
        <v>300</v>
      </c>
    </row>
    <row r="59" spans="2:12" ht="25.05" customHeight="1" thickBot="1" x14ac:dyDescent="0.35">
      <c r="B59" s="85" t="s">
        <v>258</v>
      </c>
      <c r="C59" s="79">
        <v>7</v>
      </c>
      <c r="D59" s="84">
        <v>3</v>
      </c>
      <c r="E59" s="87" t="s">
        <v>257</v>
      </c>
      <c r="F59" s="79" t="s">
        <v>300</v>
      </c>
      <c r="G59" s="79"/>
      <c r="H59" s="181" t="s">
        <v>204</v>
      </c>
      <c r="I59" s="171" t="s">
        <v>259</v>
      </c>
      <c r="J59" s="172" t="s">
        <v>466</v>
      </c>
      <c r="K59" s="167">
        <v>3</v>
      </c>
      <c r="L59" s="166" t="s">
        <v>300</v>
      </c>
    </row>
    <row r="60" spans="2:12" ht="25.05" customHeight="1" thickBot="1" x14ac:dyDescent="0.35">
      <c r="B60" s="85" t="s">
        <v>260</v>
      </c>
      <c r="C60" s="79">
        <v>7</v>
      </c>
      <c r="D60" s="84">
        <v>3</v>
      </c>
      <c r="E60" s="84" t="s">
        <v>259</v>
      </c>
      <c r="F60" s="79" t="s">
        <v>300</v>
      </c>
      <c r="G60" s="79"/>
      <c r="H60" s="181" t="s">
        <v>205</v>
      </c>
      <c r="I60" s="169" t="s">
        <v>261</v>
      </c>
      <c r="J60" s="170" t="s">
        <v>467</v>
      </c>
      <c r="K60" s="167">
        <v>3</v>
      </c>
      <c r="L60" s="166" t="s">
        <v>300</v>
      </c>
    </row>
    <row r="61" spans="2:12" ht="29.4" thickBot="1" x14ac:dyDescent="0.35">
      <c r="B61" s="85" t="s">
        <v>262</v>
      </c>
      <c r="C61" s="79">
        <v>7</v>
      </c>
      <c r="D61" s="84">
        <v>3</v>
      </c>
      <c r="E61" s="87" t="s">
        <v>261</v>
      </c>
      <c r="F61" s="79" t="s">
        <v>300</v>
      </c>
      <c r="G61" s="79"/>
      <c r="H61" s="181" t="s">
        <v>206</v>
      </c>
      <c r="I61" s="171" t="s">
        <v>263</v>
      </c>
      <c r="J61" s="172" t="s">
        <v>468</v>
      </c>
      <c r="K61" s="167">
        <v>3</v>
      </c>
      <c r="L61" s="166" t="s">
        <v>300</v>
      </c>
    </row>
    <row r="62" spans="2:12" ht="25.05" customHeight="1" thickBot="1" x14ac:dyDescent="0.35">
      <c r="B62" s="85" t="s">
        <v>264</v>
      </c>
      <c r="C62" s="79">
        <v>7</v>
      </c>
      <c r="D62" s="84">
        <v>3</v>
      </c>
      <c r="E62" s="84" t="s">
        <v>263</v>
      </c>
      <c r="F62" s="79" t="s">
        <v>300</v>
      </c>
      <c r="G62" s="79"/>
      <c r="H62" s="181" t="s">
        <v>343</v>
      </c>
      <c r="I62" s="169" t="s">
        <v>265</v>
      </c>
      <c r="J62" s="170" t="s">
        <v>469</v>
      </c>
      <c r="K62" s="167">
        <v>3</v>
      </c>
      <c r="L62" s="166" t="s">
        <v>300</v>
      </c>
    </row>
    <row r="63" spans="2:12" ht="25.05" customHeight="1" thickBot="1" x14ac:dyDescent="0.35">
      <c r="B63" s="85" t="s">
        <v>266</v>
      </c>
      <c r="C63" s="79">
        <v>7</v>
      </c>
      <c r="D63" s="84">
        <v>3</v>
      </c>
      <c r="E63" s="87" t="s">
        <v>265</v>
      </c>
      <c r="F63" s="79" t="s">
        <v>300</v>
      </c>
      <c r="G63" s="79"/>
      <c r="H63" s="181" t="s">
        <v>344</v>
      </c>
      <c r="I63" s="171" t="s">
        <v>267</v>
      </c>
      <c r="J63" s="172" t="s">
        <v>470</v>
      </c>
      <c r="K63" s="167">
        <v>3</v>
      </c>
      <c r="L63" s="166" t="s">
        <v>300</v>
      </c>
    </row>
    <row r="64" spans="2:12" ht="25.05" customHeight="1" thickBot="1" x14ac:dyDescent="0.35">
      <c r="B64" s="85" t="s">
        <v>268</v>
      </c>
      <c r="C64" s="79">
        <v>7</v>
      </c>
      <c r="D64" s="84">
        <v>3</v>
      </c>
      <c r="E64" s="84" t="s">
        <v>267</v>
      </c>
      <c r="F64" s="79" t="s">
        <v>300</v>
      </c>
      <c r="G64" s="79"/>
      <c r="H64" s="181" t="s">
        <v>475</v>
      </c>
      <c r="I64" s="169" t="s">
        <v>269</v>
      </c>
      <c r="J64" s="170" t="s">
        <v>471</v>
      </c>
      <c r="K64" s="167">
        <v>3</v>
      </c>
      <c r="L64" s="166" t="s">
        <v>300</v>
      </c>
    </row>
    <row r="65" spans="2:12" ht="25.05" customHeight="1" thickBot="1" x14ac:dyDescent="0.35">
      <c r="B65" s="85" t="s">
        <v>270</v>
      </c>
      <c r="C65" s="79">
        <v>7</v>
      </c>
      <c r="D65" s="84">
        <v>3</v>
      </c>
      <c r="E65" s="87" t="s">
        <v>269</v>
      </c>
      <c r="F65" s="79" t="s">
        <v>300</v>
      </c>
      <c r="G65" s="79"/>
      <c r="H65" s="181" t="s">
        <v>476</v>
      </c>
      <c r="I65" s="171" t="s">
        <v>271</v>
      </c>
      <c r="J65" s="172" t="s">
        <v>301</v>
      </c>
      <c r="K65" s="167">
        <v>3</v>
      </c>
      <c r="L65" s="166" t="s">
        <v>300</v>
      </c>
    </row>
    <row r="66" spans="2:12" ht="25.05" customHeight="1" thickBot="1" x14ac:dyDescent="0.35">
      <c r="B66" s="85" t="s">
        <v>301</v>
      </c>
      <c r="C66" s="79">
        <v>7</v>
      </c>
      <c r="D66" s="84">
        <v>3</v>
      </c>
      <c r="E66" s="84" t="s">
        <v>271</v>
      </c>
      <c r="F66" s="79" t="s">
        <v>300</v>
      </c>
      <c r="G66" s="79"/>
      <c r="H66" s="181" t="s">
        <v>477</v>
      </c>
      <c r="I66" s="178" t="s">
        <v>447</v>
      </c>
      <c r="J66" s="178" t="s">
        <v>448</v>
      </c>
      <c r="K66" s="167">
        <v>3</v>
      </c>
      <c r="L66" s="166" t="s">
        <v>300</v>
      </c>
    </row>
    <row r="67" spans="2:12" ht="15" thickBot="1" x14ac:dyDescent="0.35">
      <c r="B67" s="85" t="s">
        <v>273</v>
      </c>
      <c r="C67" s="79">
        <v>7</v>
      </c>
      <c r="D67" s="84">
        <v>3</v>
      </c>
      <c r="E67" s="87" t="s">
        <v>272</v>
      </c>
      <c r="F67" s="79" t="s">
        <v>300</v>
      </c>
      <c r="G67" s="79"/>
      <c r="H67" s="181" t="s">
        <v>478</v>
      </c>
      <c r="I67" s="178" t="s">
        <v>437</v>
      </c>
      <c r="J67" s="178" t="s">
        <v>438</v>
      </c>
      <c r="K67" s="167">
        <v>3</v>
      </c>
      <c r="L67" s="166" t="s">
        <v>300</v>
      </c>
    </row>
    <row r="68" spans="2:12" ht="25.05" customHeight="1" thickBot="1" x14ac:dyDescent="0.35">
      <c r="B68" s="85" t="s">
        <v>275</v>
      </c>
      <c r="C68" s="79">
        <v>7</v>
      </c>
      <c r="D68" s="84">
        <v>3</v>
      </c>
      <c r="E68" s="84" t="s">
        <v>274</v>
      </c>
      <c r="F68" s="79" t="s">
        <v>300</v>
      </c>
      <c r="G68" s="79"/>
      <c r="H68" s="181" t="s">
        <v>479</v>
      </c>
      <c r="I68" s="169" t="s">
        <v>276</v>
      </c>
      <c r="J68" s="170" t="s">
        <v>472</v>
      </c>
      <c r="K68" s="167">
        <v>3</v>
      </c>
      <c r="L68" s="166" t="s">
        <v>300</v>
      </c>
    </row>
    <row r="69" spans="2:12" ht="25.05" customHeight="1" thickBot="1" x14ac:dyDescent="0.35">
      <c r="B69" s="85" t="s">
        <v>277</v>
      </c>
      <c r="C69" s="79">
        <v>7</v>
      </c>
      <c r="D69" s="84">
        <v>3</v>
      </c>
      <c r="E69" s="87" t="s">
        <v>276</v>
      </c>
      <c r="F69" s="79" t="s">
        <v>300</v>
      </c>
      <c r="G69" s="79"/>
      <c r="H69" s="181" t="s">
        <v>480</v>
      </c>
      <c r="I69" s="171" t="s">
        <v>278</v>
      </c>
      <c r="J69" s="172" t="s">
        <v>473</v>
      </c>
      <c r="K69" s="167">
        <v>3</v>
      </c>
      <c r="L69" s="166" t="s">
        <v>300</v>
      </c>
    </row>
    <row r="70" spans="2:12" ht="25.05" customHeight="1" thickBot="1" x14ac:dyDescent="0.35">
      <c r="B70" s="85" t="s">
        <v>279</v>
      </c>
      <c r="C70" s="79">
        <v>7</v>
      </c>
      <c r="D70" s="84">
        <v>3</v>
      </c>
      <c r="E70" s="84" t="s">
        <v>278</v>
      </c>
      <c r="F70" s="79" t="s">
        <v>300</v>
      </c>
      <c r="G70" s="79"/>
      <c r="H70" s="181" t="s">
        <v>481</v>
      </c>
      <c r="I70" s="169" t="s">
        <v>280</v>
      </c>
      <c r="J70" s="170" t="s">
        <v>474</v>
      </c>
      <c r="K70" s="167">
        <v>3</v>
      </c>
      <c r="L70" s="166" t="s">
        <v>300</v>
      </c>
    </row>
    <row r="71" spans="2:12" ht="29.4" thickBot="1" x14ac:dyDescent="0.35">
      <c r="B71" s="85" t="s">
        <v>281</v>
      </c>
      <c r="C71" s="79">
        <v>7</v>
      </c>
      <c r="D71" s="84">
        <v>3</v>
      </c>
      <c r="E71" s="87" t="s">
        <v>280</v>
      </c>
      <c r="F71" s="79" t="s">
        <v>300</v>
      </c>
      <c r="G71" s="79"/>
      <c r="H71" s="181" t="s">
        <v>482</v>
      </c>
      <c r="I71" s="178" t="s">
        <v>439</v>
      </c>
      <c r="J71" s="178" t="s">
        <v>440</v>
      </c>
      <c r="K71" s="167">
        <v>3</v>
      </c>
      <c r="L71" s="166" t="s">
        <v>300</v>
      </c>
    </row>
    <row r="72" spans="2:12" ht="25.05" customHeight="1" thickBot="1" x14ac:dyDescent="0.35">
      <c r="B72" s="85" t="s">
        <v>283</v>
      </c>
      <c r="C72" s="79">
        <v>7</v>
      </c>
      <c r="D72" s="84">
        <v>3</v>
      </c>
      <c r="E72" s="84" t="s">
        <v>282</v>
      </c>
      <c r="F72" s="79" t="s">
        <v>300</v>
      </c>
      <c r="G72" s="79"/>
      <c r="H72" s="181" t="s">
        <v>483</v>
      </c>
      <c r="I72" s="171" t="s">
        <v>282</v>
      </c>
      <c r="J72" s="172" t="s">
        <v>283</v>
      </c>
      <c r="K72" s="167">
        <v>3</v>
      </c>
      <c r="L72" s="166" t="s">
        <v>300</v>
      </c>
    </row>
    <row r="73" spans="2:12" ht="25.05" customHeight="1" thickBot="1" x14ac:dyDescent="0.35">
      <c r="B73" s="85" t="s">
        <v>285</v>
      </c>
      <c r="C73" s="79">
        <v>7</v>
      </c>
      <c r="D73" s="84">
        <v>3</v>
      </c>
      <c r="E73" s="87" t="s">
        <v>284</v>
      </c>
      <c r="F73" s="79" t="s">
        <v>300</v>
      </c>
      <c r="G73" s="79"/>
      <c r="H73" s="181" t="s">
        <v>484</v>
      </c>
      <c r="I73" s="171" t="s">
        <v>286</v>
      </c>
      <c r="J73" s="172" t="s">
        <v>287</v>
      </c>
      <c r="K73" s="167">
        <v>3</v>
      </c>
      <c r="L73" s="166" t="s">
        <v>300</v>
      </c>
    </row>
    <row r="74" spans="2:12" ht="25.05" customHeight="1" thickBot="1" x14ac:dyDescent="0.35">
      <c r="B74" s="85" t="s">
        <v>287</v>
      </c>
      <c r="C74" s="79">
        <v>7</v>
      </c>
      <c r="D74" s="84">
        <v>3</v>
      </c>
      <c r="E74" s="84" t="s">
        <v>286</v>
      </c>
      <c r="F74" s="79" t="s">
        <v>300</v>
      </c>
      <c r="G74" s="79"/>
      <c r="H74" s="181" t="s">
        <v>485</v>
      </c>
      <c r="I74" s="178" t="s">
        <v>441</v>
      </c>
      <c r="J74" s="178" t="s">
        <v>442</v>
      </c>
      <c r="K74" s="167">
        <v>3</v>
      </c>
      <c r="L74" s="166" t="s">
        <v>300</v>
      </c>
    </row>
    <row r="75" spans="2:12" ht="25.05" customHeight="1" thickBot="1" x14ac:dyDescent="0.35">
      <c r="B75" s="85" t="s">
        <v>289</v>
      </c>
      <c r="C75" s="79">
        <v>7</v>
      </c>
      <c r="D75" s="84">
        <v>3</v>
      </c>
      <c r="E75" s="87" t="s">
        <v>288</v>
      </c>
      <c r="F75" s="79" t="s">
        <v>300</v>
      </c>
      <c r="G75" s="79"/>
      <c r="H75" s="181" t="s">
        <v>486</v>
      </c>
      <c r="I75" s="178" t="s">
        <v>443</v>
      </c>
      <c r="J75" s="178" t="s">
        <v>444</v>
      </c>
      <c r="K75" s="167">
        <v>3</v>
      </c>
      <c r="L75" s="166" t="s">
        <v>300</v>
      </c>
    </row>
    <row r="76" spans="2:12" ht="25.05" customHeight="1" thickBot="1" x14ac:dyDescent="0.35">
      <c r="B76" s="85" t="s">
        <v>291</v>
      </c>
      <c r="C76" s="79">
        <v>7</v>
      </c>
      <c r="D76" s="84">
        <v>3</v>
      </c>
      <c r="E76" s="84" t="s">
        <v>290</v>
      </c>
      <c r="F76" s="79" t="s">
        <v>300</v>
      </c>
      <c r="G76" s="79"/>
      <c r="H76" s="181" t="s">
        <v>487</v>
      </c>
      <c r="I76" s="178" t="s">
        <v>445</v>
      </c>
      <c r="J76" s="178" t="s">
        <v>446</v>
      </c>
      <c r="K76" s="167">
        <v>3</v>
      </c>
      <c r="L76" s="166" t="s">
        <v>300</v>
      </c>
    </row>
    <row r="77" spans="2:12" ht="25.05" customHeight="1" thickBot="1" x14ac:dyDescent="0.35">
      <c r="B77" s="85" t="s">
        <v>293</v>
      </c>
      <c r="C77" s="79">
        <v>7</v>
      </c>
      <c r="D77" s="84">
        <v>3</v>
      </c>
      <c r="E77" s="87" t="s">
        <v>292</v>
      </c>
      <c r="F77" s="79" t="s">
        <v>300</v>
      </c>
      <c r="G77" s="79"/>
      <c r="H77" s="181" t="s">
        <v>488</v>
      </c>
      <c r="I77" s="169" t="s">
        <v>296</v>
      </c>
      <c r="J77" s="170" t="s">
        <v>297</v>
      </c>
      <c r="K77" s="167">
        <v>3</v>
      </c>
      <c r="L77" s="166" t="s">
        <v>300</v>
      </c>
    </row>
    <row r="78" spans="2:12" ht="25.05" customHeight="1" thickBot="1" x14ac:dyDescent="0.35">
      <c r="B78" s="85" t="s">
        <v>295</v>
      </c>
      <c r="C78" s="79">
        <v>7</v>
      </c>
      <c r="D78" s="84">
        <v>3</v>
      </c>
      <c r="E78" s="84" t="s">
        <v>294</v>
      </c>
      <c r="F78" s="79" t="s">
        <v>300</v>
      </c>
      <c r="G78" s="79"/>
      <c r="H78" s="181" t="s">
        <v>489</v>
      </c>
      <c r="I78" s="175" t="s">
        <v>298</v>
      </c>
      <c r="J78" s="176" t="s">
        <v>299</v>
      </c>
      <c r="K78" s="167">
        <v>3</v>
      </c>
      <c r="L78" s="166" t="s">
        <v>300</v>
      </c>
    </row>
    <row r="79" spans="2:12" ht="25.05" customHeight="1" x14ac:dyDescent="0.25">
      <c r="B79" s="85" t="s">
        <v>297</v>
      </c>
      <c r="C79" s="79">
        <v>7</v>
      </c>
      <c r="D79" s="84">
        <v>3</v>
      </c>
      <c r="E79" s="87" t="s">
        <v>296</v>
      </c>
      <c r="F79" s="79" t="s">
        <v>300</v>
      </c>
      <c r="G79" s="79"/>
    </row>
    <row r="80" spans="2:12" ht="25.05" customHeight="1" thickBot="1" x14ac:dyDescent="0.3">
      <c r="B80" s="85" t="s">
        <v>299</v>
      </c>
      <c r="C80" s="79">
        <v>7</v>
      </c>
      <c r="D80" s="84">
        <v>3</v>
      </c>
      <c r="E80" s="88" t="s">
        <v>298</v>
      </c>
      <c r="F80" s="79" t="s">
        <v>300</v>
      </c>
      <c r="G80" s="79"/>
    </row>
  </sheetData>
  <phoneticPr fontId="15" type="noConversion"/>
  <dataValidations count="1">
    <dataValidation type="list" allowBlank="1" showInputMessage="1" showErrorMessage="1" sqref="B26:B30" xr:uid="{529E8A68-0F14-4192-BCE1-392D5CCB2EF3}">
      <formula1>$B$37:$B$80</formula1>
    </dataValidation>
  </dataValidation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57E4-900B-4E8B-9E1A-FD7CB80AEED6}">
  <dimension ref="D6:P43"/>
  <sheetViews>
    <sheetView topLeftCell="B8" zoomScaleNormal="100" workbookViewId="0">
      <selection activeCell="H23" sqref="H23:H27"/>
    </sheetView>
  </sheetViews>
  <sheetFormatPr defaultRowHeight="14.4" x14ac:dyDescent="0.3"/>
  <cols>
    <col min="5" max="5" width="49.77734375" customWidth="1"/>
    <col min="9" max="9" width="23.88671875" customWidth="1"/>
  </cols>
  <sheetData>
    <row r="6" spans="4:14" x14ac:dyDescent="0.3">
      <c r="E6">
        <v>13</v>
      </c>
      <c r="I6">
        <v>28</v>
      </c>
    </row>
    <row r="8" spans="4:14" x14ac:dyDescent="0.3">
      <c r="D8" s="19" t="s">
        <v>332</v>
      </c>
      <c r="E8" t="str">
        <f>E6&amp;"&gt;='Jumlah Kelas'!"</f>
        <v>13&gt;='Jumlah Kelas'!</v>
      </c>
      <c r="F8" t="s">
        <v>167</v>
      </c>
      <c r="G8">
        <v>2</v>
      </c>
      <c r="H8" s="20" t="s">
        <v>168</v>
      </c>
      <c r="I8" s="20" t="s">
        <v>333</v>
      </c>
      <c r="J8">
        <f>I6</f>
        <v>28</v>
      </c>
      <c r="K8" t="s">
        <v>169</v>
      </c>
    </row>
    <row r="9" spans="4:14" x14ac:dyDescent="0.3">
      <c r="D9" s="19" t="str">
        <f t="shared" ref="D9:E12" si="0">D8</f>
        <v>IF(J$</v>
      </c>
      <c r="E9" t="str">
        <f t="shared" si="0"/>
        <v>13&gt;='Jumlah Kelas'!</v>
      </c>
      <c r="F9" t="s">
        <v>167</v>
      </c>
      <c r="G9">
        <v>3</v>
      </c>
      <c r="H9" s="20" t="s">
        <v>168</v>
      </c>
      <c r="I9" s="20" t="str">
        <f t="shared" ref="I9:J12" si="1">I8</f>
        <v>Mata Kuliah'!H$</v>
      </c>
      <c r="J9">
        <f t="shared" si="1"/>
        <v>28</v>
      </c>
      <c r="K9" t="s">
        <v>169</v>
      </c>
    </row>
    <row r="10" spans="4:14" x14ac:dyDescent="0.3">
      <c r="D10" s="19" t="str">
        <f t="shared" si="0"/>
        <v>IF(J$</v>
      </c>
      <c r="E10" t="str">
        <f t="shared" si="0"/>
        <v>13&gt;='Jumlah Kelas'!</v>
      </c>
      <c r="F10" t="s">
        <v>167</v>
      </c>
      <c r="G10">
        <v>4</v>
      </c>
      <c r="H10" s="20" t="s">
        <v>168</v>
      </c>
      <c r="I10" s="20" t="str">
        <f t="shared" si="1"/>
        <v>Mata Kuliah'!H$</v>
      </c>
      <c r="J10">
        <f t="shared" si="1"/>
        <v>28</v>
      </c>
      <c r="K10" t="s">
        <v>169</v>
      </c>
    </row>
    <row r="11" spans="4:14" x14ac:dyDescent="0.3">
      <c r="D11" s="19" t="str">
        <f t="shared" si="0"/>
        <v>IF(J$</v>
      </c>
      <c r="E11" t="str">
        <f t="shared" si="0"/>
        <v>13&gt;='Jumlah Kelas'!</v>
      </c>
      <c r="F11" t="s">
        <v>167</v>
      </c>
      <c r="G11">
        <v>5</v>
      </c>
      <c r="H11" s="20" t="s">
        <v>168</v>
      </c>
      <c r="I11" s="20" t="str">
        <f t="shared" si="1"/>
        <v>Mata Kuliah'!H$</v>
      </c>
      <c r="J11">
        <f t="shared" si="1"/>
        <v>28</v>
      </c>
      <c r="K11" t="s">
        <v>169</v>
      </c>
    </row>
    <row r="12" spans="4:14" x14ac:dyDescent="0.3">
      <c r="D12" s="19" t="str">
        <f t="shared" si="0"/>
        <v>IF(J$</v>
      </c>
      <c r="E12" t="str">
        <f t="shared" si="0"/>
        <v>13&gt;='Jumlah Kelas'!</v>
      </c>
      <c r="F12" t="s">
        <v>167</v>
      </c>
      <c r="G12">
        <v>6</v>
      </c>
      <c r="H12" s="20" t="s">
        <v>168</v>
      </c>
      <c r="I12" s="20" t="str">
        <f t="shared" si="1"/>
        <v>Mata Kuliah'!H$</v>
      </c>
      <c r="J12">
        <f t="shared" si="1"/>
        <v>28</v>
      </c>
      <c r="K12" t="s">
        <v>169</v>
      </c>
    </row>
    <row r="16" spans="4:14" x14ac:dyDescent="0.3">
      <c r="E16" t="str">
        <f>"="&amp;C8&amp;D8&amp;E8&amp;F8&amp;G8&amp;H8&amp;I8&amp;J8&amp;K8</f>
        <v>=IF(J$13&gt;='Jumlah Kelas'!A$2,'Mata Kuliah'!H$28,"")</v>
      </c>
      <c r="F16" t="s">
        <v>491</v>
      </c>
      <c r="G16" t="s">
        <v>497</v>
      </c>
      <c r="H16">
        <v>139</v>
      </c>
      <c r="I16" t="s">
        <v>492</v>
      </c>
      <c r="K16">
        <v>24</v>
      </c>
      <c r="L16" t="s">
        <v>169</v>
      </c>
      <c r="N16" t="s">
        <v>498</v>
      </c>
    </row>
    <row r="17" spans="5:16" x14ac:dyDescent="0.3">
      <c r="E17" t="str">
        <f>"="&amp;C9&amp;D9&amp;E9&amp;F9&amp;G9&amp;H9&amp;I9&amp;J9&amp;K9</f>
        <v>=IF(J$13&gt;='Jumlah Kelas'!A$3,'Mata Kuliah'!H$28,"")</v>
      </c>
      <c r="I17" t="s">
        <v>493</v>
      </c>
    </row>
    <row r="18" spans="5:16" x14ac:dyDescent="0.3">
      <c r="E18" t="str">
        <f>"="&amp;C10&amp;D10&amp;E10&amp;F10&amp;G10&amp;H10&amp;I10&amp;J10&amp;K10</f>
        <v>=IF(J$13&gt;='Jumlah Kelas'!A$4,'Mata Kuliah'!H$28,"")</v>
      </c>
      <c r="I18" t="s">
        <v>494</v>
      </c>
    </row>
    <row r="19" spans="5:16" x14ac:dyDescent="0.3">
      <c r="E19" t="str">
        <f>"="&amp;C11&amp;D11&amp;E11&amp;F11&amp;G11&amp;H11&amp;I11&amp;J11&amp;K11</f>
        <v>=IF(J$13&gt;='Jumlah Kelas'!A$5,'Mata Kuliah'!H$28,"")</v>
      </c>
      <c r="I19" t="s">
        <v>495</v>
      </c>
    </row>
    <row r="20" spans="5:16" x14ac:dyDescent="0.3">
      <c r="E20" t="str">
        <f>"="&amp;C12&amp;D12&amp;E12&amp;F12&amp;G12&amp;H12&amp;I12&amp;J12&amp;K12</f>
        <v>=IF(J$13&gt;='Jumlah Kelas'!A$6,'Mata Kuliah'!H$28,"")</v>
      </c>
      <c r="I20" t="s">
        <v>496</v>
      </c>
    </row>
    <row r="21" spans="5:16" x14ac:dyDescent="0.3">
      <c r="E21" t="str">
        <f>C13&amp;D13&amp;E13&amp;F13&amp;G13&amp;H13</f>
        <v/>
      </c>
    </row>
    <row r="22" spans="5:16" x14ac:dyDescent="0.3">
      <c r="M22">
        <f>K16+1</f>
        <v>25</v>
      </c>
    </row>
    <row r="23" spans="5:16" x14ac:dyDescent="0.3">
      <c r="H23" t="str">
        <f>N$16&amp;F$16&amp;G$16&amp;H$16&amp;I16&amp;K$16&amp;L$16</f>
        <v>=IF(J$139&gt;='TABLE SISTEM'!A$3,'TABLE MK'!I$24,"")</v>
      </c>
      <c r="M23">
        <f>H16+6</f>
        <v>145</v>
      </c>
    </row>
    <row r="24" spans="5:16" x14ac:dyDescent="0.3">
      <c r="E24" t="s">
        <v>170</v>
      </c>
      <c r="H24" t="str">
        <f t="shared" ref="H24:H27" si="2">N$16&amp;F$16&amp;G$16&amp;H$16&amp;I17&amp;K$16&amp;L$16</f>
        <v>=IF(J$139&gt;='TABLE SISTEM'!A$4,'TABLE MK'!I$24,"")</v>
      </c>
    </row>
    <row r="25" spans="5:16" x14ac:dyDescent="0.3">
      <c r="H25" t="str">
        <f t="shared" si="2"/>
        <v>=IF(J$139&gt;='TABLE SISTEM'!A$5,'TABLE MK'!I$24,"")</v>
      </c>
    </row>
    <row r="26" spans="5:16" x14ac:dyDescent="0.3">
      <c r="H26" t="str">
        <f t="shared" si="2"/>
        <v>=IF(J$139&gt;='TABLE SISTEM'!A$6,'TABLE MK'!I$24,"")</v>
      </c>
    </row>
    <row r="27" spans="5:16" x14ac:dyDescent="0.3">
      <c r="E27" s="20" t="s">
        <v>331</v>
      </c>
      <c r="H27" t="str">
        <f t="shared" si="2"/>
        <v>=IF(J$139&gt;='TABLE SISTEM'!A$7,'TABLE MK'!I$24,"")</v>
      </c>
    </row>
    <row r="28" spans="5:16" x14ac:dyDescent="0.3">
      <c r="E28" s="20" t="s">
        <v>331</v>
      </c>
    </row>
    <row r="29" spans="5:16" x14ac:dyDescent="0.3">
      <c r="E29" s="20" t="s">
        <v>331</v>
      </c>
    </row>
    <row r="30" spans="5:16" x14ac:dyDescent="0.3">
      <c r="E30" s="20" t="s">
        <v>331</v>
      </c>
    </row>
    <row r="31" spans="5:16" x14ac:dyDescent="0.3">
      <c r="E31" s="20" t="s">
        <v>331</v>
      </c>
      <c r="F31" t="s">
        <v>491</v>
      </c>
      <c r="G31" t="s">
        <v>100</v>
      </c>
      <c r="H31">
        <v>140</v>
      </c>
      <c r="I31" s="20" t="s">
        <v>498</v>
      </c>
      <c r="J31" t="s">
        <v>500</v>
      </c>
      <c r="L31">
        <f>H31</f>
        <v>140</v>
      </c>
      <c r="M31" t="s">
        <v>501</v>
      </c>
      <c r="N31">
        <v>4</v>
      </c>
      <c r="O31" t="s">
        <v>499</v>
      </c>
      <c r="P31">
        <f>H31+6</f>
        <v>146</v>
      </c>
    </row>
    <row r="32" spans="5:16" x14ac:dyDescent="0.3">
      <c r="H32">
        <v>75</v>
      </c>
    </row>
    <row r="33" spans="6:8" x14ac:dyDescent="0.3">
      <c r="H33">
        <v>76</v>
      </c>
    </row>
    <row r="34" spans="6:8" x14ac:dyDescent="0.3">
      <c r="H34">
        <v>77</v>
      </c>
    </row>
    <row r="35" spans="6:8" x14ac:dyDescent="0.3">
      <c r="H35">
        <v>78</v>
      </c>
    </row>
    <row r="39" spans="6:8" x14ac:dyDescent="0.3">
      <c r="F39" t="str">
        <f>N$16&amp;F$31&amp;G$31&amp;H$31&amp;I$31&amp;J$31&amp;L$31&amp;M$31&amp;"2"&amp;O$31</f>
        <v>=IF(D140="","",(VLOOKUP(D140,Table6[[#All],[Kode MK]:[Mata Kuliah Prasayarat]],2,)))</v>
      </c>
      <c r="G39" s="191" t="str">
        <f>N$16&amp;F$31&amp;G$31&amp;H$31&amp;I$31&amp;J$31&amp;L$31&amp;M$31&amp;"3"&amp;O$31</f>
        <v>=IF(D140="","",(VLOOKUP(D140,Table6[[#All],[Kode MK]:[Mata Kuliah Prasayarat]],3,)))</v>
      </c>
      <c r="H39" t="str">
        <f>N$16&amp;F$31&amp;G$31&amp;H$31&amp;I$31&amp;J$31&amp;L$31&amp;M$31&amp;"4"&amp;O$31</f>
        <v>=IF(D140="","",(VLOOKUP(D140,Table6[[#All],[Kode MK]:[Mata Kuliah Prasayarat]],4,)))</v>
      </c>
    </row>
    <row r="40" spans="6:8" x14ac:dyDescent="0.3">
      <c r="G40" s="191"/>
    </row>
    <row r="41" spans="6:8" x14ac:dyDescent="0.3">
      <c r="G41" s="191"/>
    </row>
    <row r="42" spans="6:8" x14ac:dyDescent="0.3">
      <c r="G42" s="191"/>
    </row>
    <row r="43" spans="6:8" x14ac:dyDescent="0.3">
      <c r="G43" s="191"/>
    </row>
  </sheetData>
  <phoneticPr fontId="15" type="noConversion"/>
  <conditionalFormatting sqref="H23:H28">
    <cfRule type="duplicateValues" dxfId="7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FB88-0E3D-44B6-8193-5A1696EDC937}">
  <sheetPr>
    <tabColor rgb="FFFFC000"/>
  </sheetPr>
  <dimension ref="A2:R125"/>
  <sheetViews>
    <sheetView showGridLines="0" topLeftCell="A9" zoomScale="55" zoomScaleNormal="55" workbookViewId="0">
      <selection activeCell="M128" sqref="M128"/>
    </sheetView>
  </sheetViews>
  <sheetFormatPr defaultRowHeight="14.4" x14ac:dyDescent="0.3"/>
  <cols>
    <col min="1" max="1" width="8" style="25" customWidth="1"/>
    <col min="2" max="2" width="14.6640625" style="25" customWidth="1"/>
    <col min="3" max="3" width="11.6640625" style="25" bestFit="1" customWidth="1"/>
    <col min="4" max="4" width="6.21875" style="25" customWidth="1"/>
    <col min="5" max="5" width="13.21875" style="25" bestFit="1" customWidth="1"/>
    <col min="6" max="6" width="58" style="100" customWidth="1"/>
    <col min="7" max="7" width="4.77734375" style="100" customWidth="1"/>
    <col min="8" max="8" width="23.77734375" style="25" bestFit="1" customWidth="1"/>
    <col min="9" max="9" width="43.109375" style="99" bestFit="1" customWidth="1"/>
    <col min="10" max="10" width="11" style="25" customWidth="1"/>
    <col min="11" max="11" width="13.44140625" style="25" customWidth="1"/>
    <col min="12" max="12" width="12.6640625" style="25" customWidth="1"/>
    <col min="13" max="13" width="10.6640625" style="25" bestFit="1" customWidth="1"/>
    <col min="14" max="14" width="13" style="25" customWidth="1"/>
    <col min="15" max="16" width="7.21875" style="25" bestFit="1" customWidth="1"/>
    <col min="17" max="17" width="42.77734375" style="25" bestFit="1" customWidth="1"/>
    <col min="18" max="18" width="16.21875" style="25" customWidth="1"/>
    <col min="19" max="19" width="14.109375" style="25" customWidth="1"/>
    <col min="20" max="16384" width="8.88671875" style="25"/>
  </cols>
  <sheetData>
    <row r="2" spans="1:18" ht="31.8" x14ac:dyDescent="0.5">
      <c r="B2" s="259" t="str">
        <f>("PROGRAM JADWAL KULIAH SEMESTER GENAP TA "&amp; 'SELECT KELAS GASAL'!$I$3)</f>
        <v>PROGRAM JADWAL KULIAH SEMESTER GENAP TA 2022 - 2023</v>
      </c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</row>
    <row r="3" spans="1:18" ht="31.8" x14ac:dyDescent="0.5">
      <c r="B3" s="259" t="s">
        <v>419</v>
      </c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</row>
    <row r="4" spans="1:18" ht="17.399999999999999" x14ac:dyDescent="0.3">
      <c r="B4" s="48"/>
    </row>
    <row r="6" spans="1:18" s="26" customFormat="1" ht="34.950000000000003" customHeight="1" x14ac:dyDescent="0.3">
      <c r="B6" s="125" t="s">
        <v>418</v>
      </c>
      <c r="C6" s="260" t="s">
        <v>417</v>
      </c>
      <c r="D6" s="260"/>
      <c r="E6" s="260"/>
      <c r="F6" s="50" t="s">
        <v>174</v>
      </c>
      <c r="G6" s="97"/>
      <c r="H6" s="50" t="s">
        <v>416</v>
      </c>
      <c r="I6" s="97" t="s">
        <v>147</v>
      </c>
      <c r="J6" s="50" t="s">
        <v>164</v>
      </c>
      <c r="K6" s="50" t="s">
        <v>412</v>
      </c>
      <c r="L6" s="50" t="s">
        <v>413</v>
      </c>
      <c r="M6" s="50" t="s">
        <v>94</v>
      </c>
      <c r="N6" s="50" t="s">
        <v>415</v>
      </c>
      <c r="O6" s="50" t="s">
        <v>83</v>
      </c>
      <c r="P6" s="50" t="s">
        <v>414</v>
      </c>
      <c r="Q6" s="50" t="s">
        <v>163</v>
      </c>
      <c r="R6" s="50" t="s">
        <v>165</v>
      </c>
    </row>
    <row r="7" spans="1:18" s="26" customFormat="1" ht="34.950000000000003" customHeight="1" x14ac:dyDescent="0.3">
      <c r="A7" s="49"/>
      <c r="B7" s="273" t="s">
        <v>325</v>
      </c>
      <c r="C7" s="51">
        <v>0.3125</v>
      </c>
      <c r="D7" s="51" t="str">
        <f>IF(C7="","","s/d")</f>
        <v>s/d</v>
      </c>
      <c r="E7" s="51">
        <f t="shared" ref="E7:E12" si="0">IF(O7="","",(IF(O7=4,C7+TIME(0,2*50,0),C7+TIME(0,O7*50,0))))</f>
        <v>0.41666666666666669</v>
      </c>
      <c r="F7" s="101" t="s">
        <v>348</v>
      </c>
      <c r="G7" s="115" t="s">
        <v>394</v>
      </c>
      <c r="H7" s="52" t="str">
        <f>IF(F7="","",VLOOKUP(F7,'SELECT KELAS GASAL'!C$8:N$181,2,FALSE))</f>
        <v>INF-55201-101</v>
      </c>
      <c r="I7" s="98" t="str">
        <f>IF(F7="","",VLOOKUP(F7,'SELECT KELAS GASAL'!C$8:N$175,3,FALSE))</f>
        <v>Matematika  Dasar I</v>
      </c>
      <c r="J7" s="52" t="str">
        <f>IF(F7="","",VLOOKUP(F7,'SELECT KELAS GASAL'!C$8:N$181,12,FALSE))</f>
        <v>AS / NC</v>
      </c>
      <c r="K7" s="52" t="str">
        <f>IF(F7="","",VLOOKUP(F7,'SELECT KELAS GASAL'!C$8:N$181,8,FALSE))</f>
        <v>AS</v>
      </c>
      <c r="L7" s="52" t="str">
        <f>IF(F7="","",VLOOKUP(F7,'SELECT KELAS GASAL'!C$8:N$181,10,FALSE))</f>
        <v>NC</v>
      </c>
      <c r="M7" s="52" t="str">
        <f>IF(F7="","",VLOOKUP(F7,'SELECT KELAS GASAL'!C$8:N$181,6,FALSE))</f>
        <v>A</v>
      </c>
      <c r="N7" s="52">
        <f>IF(F7="","",VLOOKUP(F7,'SELECT KELAS GASAL'!C$8:N$181,4,FALSE))</f>
        <v>1</v>
      </c>
      <c r="O7" s="52">
        <f>IF(F7="","",VLOOKUP(F7,'SELECT KELAS GASAL'!C$8:N$181,5,FALSE))</f>
        <v>3</v>
      </c>
      <c r="P7" s="52">
        <f>IF(F7="","",VLOOKUP(F7,'SELECT KELAS GASAL'!C$8:X$181,22,FALSE))</f>
        <v>25</v>
      </c>
      <c r="Q7" s="98" t="str">
        <f>IF(F7="","",VLOOKUP(F7,'SELECT KELAS GASAL'!C$8:N$181,11,FALSE))</f>
        <v>Anggi Srimurdianti, S.T., M.T. / Niken Candraningrum, S.T., M.Cs.</v>
      </c>
      <c r="R7" s="52" t="s">
        <v>173</v>
      </c>
    </row>
    <row r="8" spans="1:18" s="26" customFormat="1" ht="34.950000000000003" customHeight="1" x14ac:dyDescent="0.3">
      <c r="B8" s="274"/>
      <c r="C8" s="51">
        <v>0.3125</v>
      </c>
      <c r="D8" s="51" t="str">
        <f t="shared" ref="D8:D71" si="1">IF(C8="","","s/d")</f>
        <v>s/d</v>
      </c>
      <c r="E8" s="51">
        <f t="shared" si="0"/>
        <v>0.41666666666666669</v>
      </c>
      <c r="F8" s="101" t="s">
        <v>305</v>
      </c>
      <c r="G8" s="115" t="s">
        <v>394</v>
      </c>
      <c r="H8" s="52" t="str">
        <f>IF(F8="","",VLOOKUP(F8,'SELECT KELAS GASAL'!C$8:N$175,2,FALSE))</f>
        <v>INF-55201-101</v>
      </c>
      <c r="I8" s="98" t="str">
        <f>IF(F8="","",VLOOKUP(F8,'SELECT KELAS GASAL'!C$8:N$175,3,FALSE))</f>
        <v>Matematika  Dasar I</v>
      </c>
      <c r="J8" s="52" t="str">
        <f>IF(F8="","",VLOOKUP(F8,'SELECT KELAS GASAL'!C$8:N$181,12,FALSE))</f>
        <v>RS</v>
      </c>
      <c r="K8" s="52" t="str">
        <f>IF(F8="","",VLOOKUP(F8,'SELECT KELAS GASAL'!C$8:N$181,8,FALSE))</f>
        <v>RS</v>
      </c>
      <c r="L8" s="52" t="str">
        <f>IF(F8="","",VLOOKUP(F8,'SELECT KELAS GASAL'!C$8:N$181,10,FALSE))</f>
        <v>-</v>
      </c>
      <c r="M8" s="52" t="str">
        <f>IF(F8="","",VLOOKUP(F8,'SELECT KELAS GASAL'!C$8:N$181,6,FALSE))</f>
        <v>B</v>
      </c>
      <c r="N8" s="52">
        <f>IF(F8="","",VLOOKUP(F8,'SELECT KELAS GASAL'!C$8:N$181,4,FALSE))</f>
        <v>1</v>
      </c>
      <c r="O8" s="52">
        <f>IF(F8="","",VLOOKUP(F8,'SELECT KELAS GASAL'!C$8:N$181,5,FALSE))</f>
        <v>3</v>
      </c>
      <c r="P8" s="52">
        <f>IF(F8="","",VLOOKUP(F8,'SELECT KELAS GASAL'!C$8:X$181,22,FALSE))</f>
        <v>25</v>
      </c>
      <c r="Q8" s="98" t="str">
        <f>IF(F8="","",VLOOKUP(F8,'SELECT KELAS GASAL'!C$8:N$181,11,FALSE))</f>
        <v>Rina Septiriana, S.T., M.Cs.</v>
      </c>
      <c r="R8" s="52" t="s">
        <v>173</v>
      </c>
    </row>
    <row r="9" spans="1:18" s="26" customFormat="1" ht="34.950000000000003" customHeight="1" x14ac:dyDescent="0.3">
      <c r="A9" s="49"/>
      <c r="B9" s="274"/>
      <c r="C9" s="51">
        <v>0.3125</v>
      </c>
      <c r="D9" s="51" t="str">
        <f t="shared" si="1"/>
        <v>s/d</v>
      </c>
      <c r="E9" s="51">
        <f t="shared" si="0"/>
        <v>0.41666666666666669</v>
      </c>
      <c r="F9" s="101" t="s">
        <v>398</v>
      </c>
      <c r="G9" s="115" t="s">
        <v>394</v>
      </c>
      <c r="H9" s="52" t="str">
        <f>IF(F9="","",VLOOKUP(F9,'SELECT KELAS GASAL'!C$8:N$175,2,FALSE))</f>
        <v>INF-55201-207</v>
      </c>
      <c r="I9" s="98" t="str">
        <f>IF(F9="","",VLOOKUP(F9,'SELECT KELAS GASAL'!C$8:N$175,3,FALSE))</f>
        <v>Sistem Operasi*</v>
      </c>
      <c r="J9" s="52" t="str">
        <f>IF(F9="","",VLOOKUP(F9,'SELECT KELAS GASAL'!C$8:N$181,12,FALSE))</f>
        <v>HLN</v>
      </c>
      <c r="K9" s="52" t="str">
        <f>IF(F9="","",VLOOKUP(F9,'SELECT KELAS GASAL'!C$8:N$181,8,FALSE))</f>
        <v>HLN</v>
      </c>
      <c r="L9" s="52" t="str">
        <f>IF(F9="","",VLOOKUP(F9,'SELECT KELAS GASAL'!C$8:N$181,10,FALSE))</f>
        <v>-</v>
      </c>
      <c r="M9" s="52" t="str">
        <f>IF(F9="","",VLOOKUP(F9,'SELECT KELAS GASAL'!C$8:N$181,6,FALSE))</f>
        <v>A</v>
      </c>
      <c r="N9" s="52">
        <f>IF(F9="","",VLOOKUP(F9,'SELECT KELAS GASAL'!C$8:N$181,4,FALSE))</f>
        <v>3</v>
      </c>
      <c r="O9" s="52">
        <f>IF(F9="","",VLOOKUP(F9,'SELECT KELAS GASAL'!C$8:N$181,5,FALSE))</f>
        <v>3</v>
      </c>
      <c r="P9" s="52">
        <f>IF(F9="","",VLOOKUP(F9,'SELECT KELAS GASAL'!C$8:X$181,22,FALSE))</f>
        <v>20</v>
      </c>
      <c r="Q9" s="98" t="str">
        <f>IF(F9="","",VLOOKUP(F9,'SELECT KELAS GASAL'!C$8:N$181,11,FALSE))</f>
        <v>Helfi Nasution, S.Kom, M.Cs</v>
      </c>
      <c r="R9" s="52" t="s">
        <v>173</v>
      </c>
    </row>
    <row r="10" spans="1:18" s="26" customFormat="1" ht="34.950000000000003" customHeight="1" x14ac:dyDescent="0.3">
      <c r="B10" s="274"/>
      <c r="C10" s="51">
        <v>0.3125</v>
      </c>
      <c r="D10" s="51" t="str">
        <f t="shared" si="1"/>
        <v>s/d</v>
      </c>
      <c r="E10" s="51">
        <f t="shared" si="0"/>
        <v>0.41666666666666669</v>
      </c>
      <c r="F10" s="101" t="s">
        <v>302</v>
      </c>
      <c r="G10" s="115" t="s">
        <v>394</v>
      </c>
      <c r="H10" s="52" t="str">
        <f>IF(F10="","",VLOOKUP(F10,'SELECT KELAS GASAL'!C$8:N$175,2,FALSE))</f>
        <v>INF-55201-303</v>
      </c>
      <c r="I10" s="98" t="str">
        <f>IF(F10="","",VLOOKUP(F10,'SELECT KELAS GASAL'!C$8:N$175,3,FALSE))</f>
        <v>Pemrograman Jaringan *</v>
      </c>
      <c r="J10" s="52" t="str">
        <f>IF(F10="","",VLOOKUP(F10,'SELECT KELAS GASAL'!C$8:N$181,12,FALSE))</f>
        <v>HP</v>
      </c>
      <c r="K10" s="52" t="str">
        <f>IF(F10="","",VLOOKUP(F10,'SELECT KELAS GASAL'!C$8:N$181,8,FALSE))</f>
        <v>HP</v>
      </c>
      <c r="L10" s="52" t="str">
        <f>IF(F10="","",VLOOKUP(F10,'SELECT KELAS GASAL'!C$8:N$181,10,FALSE))</f>
        <v>-</v>
      </c>
      <c r="M10" s="52" t="str">
        <f>IF(F10="","",VLOOKUP(F10,'SELECT KELAS GASAL'!C$8:N$181,6,FALSE))</f>
        <v>C</v>
      </c>
      <c r="N10" s="52">
        <f>IF(F10="","",VLOOKUP(F10,'SELECT KELAS GASAL'!C$8:N$181,4,FALSE))</f>
        <v>5</v>
      </c>
      <c r="O10" s="52">
        <f>IF(F10="","",VLOOKUP(F10,'SELECT KELAS GASAL'!C$8:N$181,5,FALSE))</f>
        <v>3</v>
      </c>
      <c r="P10" s="52">
        <f>IF(F10="","",VLOOKUP(F10,'SELECT KELAS GASAL'!C$8:X$181,22,FALSE))</f>
        <v>25</v>
      </c>
      <c r="Q10" s="98" t="str">
        <f>IF(F10="","",VLOOKUP(F10,'SELECT KELAS GASAL'!C$8:N$181,11,FALSE))</f>
        <v>Heri Priyanto,S.T., M.T.</v>
      </c>
      <c r="R10" s="52" t="s">
        <v>173</v>
      </c>
    </row>
    <row r="11" spans="1:18" s="26" customFormat="1" ht="34.799999999999997" customHeight="1" x14ac:dyDescent="0.3">
      <c r="B11" s="274"/>
      <c r="C11" s="51">
        <v>0.3125</v>
      </c>
      <c r="D11" s="51" t="str">
        <f t="shared" si="1"/>
        <v>s/d</v>
      </c>
      <c r="E11" s="51">
        <f t="shared" si="0"/>
        <v>0.41666666666666669</v>
      </c>
      <c r="F11" s="101" t="s">
        <v>306</v>
      </c>
      <c r="G11" s="115" t="s">
        <v>394</v>
      </c>
      <c r="H11" s="52" t="str">
        <f>IF(F11="","",VLOOKUP(F11,'SELECT KELAS GASAL'!C$8:N$175,2,FALSE))</f>
        <v>INF­55201­531</v>
      </c>
      <c r="I11" s="98" t="str">
        <f>IF(F11="","",VLOOKUP(F11,'SELECT KELAS GASAL'!C$8:N$175,3,FALSE))</f>
        <v xml:space="preserve">Forensik  Digital  </v>
      </c>
      <c r="J11" s="52" t="str">
        <f>IF(F11="","",VLOOKUP(F11,'SELECT KELAS GASAL'!C$8:N$181,12,FALSE))</f>
        <v>NS</v>
      </c>
      <c r="K11" s="52" t="str">
        <f>IF(F11="","",VLOOKUP(F11,'SELECT KELAS GASAL'!C$8:N$181,8,FALSE))</f>
        <v>NS</v>
      </c>
      <c r="L11" s="52" t="str">
        <f>IF(F11="","",VLOOKUP(F11,'SELECT KELAS GASAL'!C$8:N$181,10,FALSE))</f>
        <v>-</v>
      </c>
      <c r="M11" s="52" t="str">
        <f>IF(F11="","",VLOOKUP(F11,'SELECT KELAS GASAL'!C$8:N$181,6,FALSE))</f>
        <v>A</v>
      </c>
      <c r="N11" s="52">
        <f>IF(F11="","",VLOOKUP(F11,'SELECT KELAS GASAL'!C$8:N$181,4,FALSE))</f>
        <v>7</v>
      </c>
      <c r="O11" s="52">
        <f>IF(F11="","",VLOOKUP(F11,'SELECT KELAS GASAL'!C$8:N$181,5,FALSE))</f>
        <v>3</v>
      </c>
      <c r="P11" s="52">
        <f>IF(F11="","",VLOOKUP(F11,'SELECT KELAS GASAL'!C$8:X$181,22,FALSE))</f>
        <v>20</v>
      </c>
      <c r="Q11" s="98" t="str">
        <f>IF(F11="","",VLOOKUP(F11,'SELECT KELAS GASAL'!C$8:N$181,11,FALSE))</f>
        <v>Novi Safriadi, S.T., M.T.</v>
      </c>
      <c r="R11" s="52" t="s">
        <v>173</v>
      </c>
    </row>
    <row r="12" spans="1:18" s="26" customFormat="1" ht="34.950000000000003" customHeight="1" x14ac:dyDescent="0.3">
      <c r="A12" s="49"/>
      <c r="B12" s="274"/>
      <c r="C12" s="51">
        <v>0.3125</v>
      </c>
      <c r="D12" s="51" t="str">
        <f t="shared" si="1"/>
        <v>s/d</v>
      </c>
      <c r="E12" s="51">
        <f t="shared" si="0"/>
        <v>0.41666666666666669</v>
      </c>
      <c r="F12" s="101" t="s">
        <v>349</v>
      </c>
      <c r="G12" s="115" t="s">
        <v>394</v>
      </c>
      <c r="H12" s="52" t="str">
        <f>IF(F12="","",VLOOKUP(F12,'SELECT KELAS GASAL'!C$8:N$175,2,FALSE))</f>
        <v>INF­55201­533</v>
      </c>
      <c r="I12" s="98" t="str">
        <f>IF(F12="","",VLOOKUP(F12,'SELECT KELAS GASAL'!C$8:N$175,3,FALSE))</f>
        <v>Sistem  Informasi  Geografis II</v>
      </c>
      <c r="J12" s="52" t="str">
        <f>IF(F12="","",VLOOKUP(F12,'SELECT KELAS GASAL'!C$8:N$181,12,FALSE))</f>
        <v>YS / AI</v>
      </c>
      <c r="K12" s="52" t="str">
        <f>IF(F12="","",VLOOKUP(F12,'SELECT KELAS GASAL'!C$8:N$181,8,FALSE))</f>
        <v>YS</v>
      </c>
      <c r="L12" s="52" t="str">
        <f>IF(F12="","",VLOOKUP(F12,'SELECT KELAS GASAL'!C$8:N$181,10,FALSE))</f>
        <v>AI</v>
      </c>
      <c r="M12" s="52" t="str">
        <f>IF(F12="","",VLOOKUP(F12,'SELECT KELAS GASAL'!C$8:N$181,6,FALSE))</f>
        <v>B</v>
      </c>
      <c r="N12" s="52">
        <f>IF(F12="","",VLOOKUP(F12,'SELECT KELAS GASAL'!C$8:N$181,4,FALSE))</f>
        <v>7</v>
      </c>
      <c r="O12" s="52">
        <f>IF(F12="","",VLOOKUP(F12,'SELECT KELAS GASAL'!C$8:N$181,5,FALSE))</f>
        <v>3</v>
      </c>
      <c r="P12" s="52">
        <f>IF(F12="","",VLOOKUP(F12,'SELECT KELAS GASAL'!C$8:X$181,22,FALSE))</f>
        <v>20</v>
      </c>
      <c r="Q12" s="98" t="str">
        <f>IF(F12="","",VLOOKUP(F12,'SELECT KELAS GASAL'!C$8:N$181,11,FALSE))</f>
        <v>Dr. Yus Sholva, S.T., M.T. / M.Azhar Irwansyah, S.T.,M.Eng.</v>
      </c>
      <c r="R12" s="52" t="s">
        <v>173</v>
      </c>
    </row>
    <row r="13" spans="1:18" s="26" customFormat="1" ht="34.950000000000003" customHeight="1" x14ac:dyDescent="0.3">
      <c r="A13" s="49"/>
      <c r="B13" s="274"/>
      <c r="C13" s="51"/>
      <c r="D13" s="51" t="str">
        <f t="shared" si="1"/>
        <v/>
      </c>
      <c r="E13" s="51"/>
      <c r="F13" s="101"/>
      <c r="G13" s="115" t="s">
        <v>394</v>
      </c>
      <c r="H13" s="52"/>
      <c r="I13" s="98"/>
      <c r="J13" s="52"/>
      <c r="K13" s="52" t="str">
        <f>IF(F13="","",VLOOKUP(F13,'SELECT KELAS GASAL'!C$8:N$181,8,FALSE))</f>
        <v/>
      </c>
      <c r="L13" s="52" t="str">
        <f>IF(F13="","",VLOOKUP(F13,'SELECT KELAS GASAL'!C$8:N$181,10,FALSE))</f>
        <v/>
      </c>
      <c r="M13" s="52"/>
      <c r="N13" s="52"/>
      <c r="O13" s="52"/>
      <c r="P13" s="52" t="str">
        <f>IF(F13="","",VLOOKUP(F13,'SELECT KELAS GASAL'!C$8:X$181,22,FALSE))</f>
        <v/>
      </c>
      <c r="Q13" s="98" t="str">
        <f>IF(F13="","",VLOOKUP(F13,'SELECT KELAS GASAL'!C$8:N$181,11,FALSE))</f>
        <v/>
      </c>
      <c r="R13" s="52"/>
    </row>
    <row r="14" spans="1:18" s="26" customFormat="1" ht="34.950000000000003" customHeight="1" x14ac:dyDescent="0.3">
      <c r="B14" s="274"/>
      <c r="C14" s="51">
        <v>0.4236111111111111</v>
      </c>
      <c r="D14" s="51" t="str">
        <f t="shared" si="1"/>
        <v>s/d</v>
      </c>
      <c r="E14" s="51">
        <f t="shared" ref="E14:E28" si="2">IF(O14="","",(IF(O14=4,C14+TIME(0,2*50,0),C14+TIME(0,O14*50,0))))</f>
        <v>0.49305555555555558</v>
      </c>
      <c r="F14" s="101" t="s">
        <v>383</v>
      </c>
      <c r="G14" s="115" t="s">
        <v>394</v>
      </c>
      <c r="H14" s="52" t="str">
        <f>IF(F14="","",VLOOKUP(F14,'SELECT KELAS GASAL'!C$8:N$175,2,FALSE))</f>
        <v>INF-55201-301</v>
      </c>
      <c r="I14" s="98" t="str">
        <f>IF(F14="","",VLOOKUP(F14,'SELECT KELAS GASAL'!C$8:N$175,3,FALSE))</f>
        <v>Interaksi  Manusia  dan  Komputer  </v>
      </c>
      <c r="J14" s="52" t="str">
        <f>IF(F14="","",VLOOKUP(F14,'SELECT KELAS GASAL'!C$8:N$181,12,FALSE))</f>
        <v>AP</v>
      </c>
      <c r="K14" s="52" t="str">
        <f>IF(F14="","",VLOOKUP(F14,'SELECT KELAS GASAL'!C$8:N$181,8,FALSE))</f>
        <v>AP</v>
      </c>
      <c r="L14" s="52" t="str">
        <f>IF(F14="","",VLOOKUP(F14,'SELECT KELAS GASAL'!C$8:N$181,10,FALSE))</f>
        <v>-</v>
      </c>
      <c r="M14" s="52" t="str">
        <f>IF(F14="","",VLOOKUP(F14,'SELECT KELAS GASAL'!C$8:N$181,6,FALSE))</f>
        <v>A</v>
      </c>
      <c r="N14" s="52">
        <f>IF(F14="","",VLOOKUP(F14,'SELECT KELAS GASAL'!C$8:N$181,4,FALSE))</f>
        <v>5</v>
      </c>
      <c r="O14" s="52">
        <f>IF(F14="","",VLOOKUP(F14,'SELECT KELAS GASAL'!C$8:N$181,5,FALSE))</f>
        <v>2</v>
      </c>
      <c r="P14" s="52">
        <f>IF(F14="","",VLOOKUP(F14,'SELECT KELAS GASAL'!C$8:X$181,22,FALSE))</f>
        <v>25</v>
      </c>
      <c r="Q14" s="98" t="str">
        <f>IF(F14="","",VLOOKUP(F14,'SELECT KELAS GASAL'!C$8:N$181,11,FALSE))</f>
        <v>Anggi Perwitasari, S.T., M.T.</v>
      </c>
      <c r="R14" s="52" t="s">
        <v>173</v>
      </c>
    </row>
    <row r="15" spans="1:18" s="26" customFormat="1" ht="34.950000000000003" customHeight="1" x14ac:dyDescent="0.3">
      <c r="A15" s="49"/>
      <c r="B15" s="274"/>
      <c r="C15" s="51">
        <v>0.4236111111111111</v>
      </c>
      <c r="D15" s="51" t="str">
        <f t="shared" si="1"/>
        <v>s/d</v>
      </c>
      <c r="E15" s="51">
        <f t="shared" si="2"/>
        <v>0.49305555555555558</v>
      </c>
      <c r="F15" s="101" t="s">
        <v>411</v>
      </c>
      <c r="G15" s="115" t="s">
        <v>394</v>
      </c>
      <c r="H15" s="52" t="str">
        <f>IF(F15="","",VLOOKUP(F15,'SELECT KELAS GASAL'!C$8:N$175,2,FALSE))</f>
        <v>INF-55201-202</v>
      </c>
      <c r="I15" s="98" t="str">
        <f>IF(F15="","",VLOOKUP(F15,'SELECT KELAS GASAL'!C$8:N$175,3,FALSE))</f>
        <v>Teori  Graf  </v>
      </c>
      <c r="J15" s="52" t="str">
        <f>IF(F15="","",VLOOKUP(F15,'SELECT KELAS GASAL'!C$8:N$181,12,FALSE))</f>
        <v>HN / KH</v>
      </c>
      <c r="K15" s="52" t="str">
        <f>IF(F15="","",VLOOKUP(F15,'SELECT KELAS GASAL'!C$8:N$181,8,FALSE))</f>
        <v>HN</v>
      </c>
      <c r="L15" s="52" t="str">
        <f>IF(F15="","",VLOOKUP(F15,'SELECT KELAS GASAL'!C$8:N$181,10,FALSE))</f>
        <v>KH</v>
      </c>
      <c r="M15" s="52" t="str">
        <f>IF(F15="","",VLOOKUP(F15,'SELECT KELAS GASAL'!C$8:N$181,6,FALSE))</f>
        <v>B</v>
      </c>
      <c r="N15" s="52">
        <f>IF(F15="","",VLOOKUP(F15,'SELECT KELAS GASAL'!C$8:N$181,4,FALSE))</f>
        <v>3</v>
      </c>
      <c r="O15" s="52">
        <f>IF(F15="","",VLOOKUP(F15,'SELECT KELAS GASAL'!C$8:N$181,5,FALSE))</f>
        <v>2</v>
      </c>
      <c r="P15" s="52">
        <f>IF(F15="","",VLOOKUP(F15,'SELECT KELAS GASAL'!C$8:X$181,22,FALSE))</f>
        <v>25</v>
      </c>
      <c r="Q15" s="98" t="str">
        <f>IF(F15="","",VLOOKUP(F15,'SELECT KELAS GASAL'!C$8:N$181,11,FALSE))</f>
        <v>Haried Novriando, S.Kom, M.Eng / Khairul Hafidh, S.T., M.Kom.</v>
      </c>
      <c r="R15" s="52" t="s">
        <v>173</v>
      </c>
    </row>
    <row r="16" spans="1:18" s="26" customFormat="1" ht="34.950000000000003" customHeight="1" x14ac:dyDescent="0.3">
      <c r="B16" s="274"/>
      <c r="C16" s="51">
        <v>0.4236111111111111</v>
      </c>
      <c r="D16" s="51" t="str">
        <f t="shared" si="1"/>
        <v>s/d</v>
      </c>
      <c r="E16" s="51">
        <f t="shared" si="2"/>
        <v>0.49305555555555558</v>
      </c>
      <c r="F16" s="101" t="s">
        <v>303</v>
      </c>
      <c r="G16" s="115" t="s">
        <v>394</v>
      </c>
      <c r="H16" s="52" t="str">
        <f>IF(F16="","",VLOOKUP(F16,'SELECT KELAS GASAL'!C$8:N$175,2,FALSE))</f>
        <v>INF-55201-103</v>
      </c>
      <c r="I16" s="98" t="str">
        <f>IF(F16="","",VLOOKUP(F16,'SELECT KELAS GASAL'!C$8:N$175,3,FALSE))</f>
        <v>Dasar  Pemrograman*</v>
      </c>
      <c r="J16" s="52" t="str">
        <f>IF(F16="","",VLOOKUP(F16,'SELECT KELAS GASAL'!C$8:N$181,12,FALSE))</f>
        <v>TZ</v>
      </c>
      <c r="K16" s="52" t="str">
        <f>IF(F16="","",VLOOKUP(F16,'SELECT KELAS GASAL'!C$8:N$181,8,FALSE))</f>
        <v>TZ</v>
      </c>
      <c r="L16" s="52" t="str">
        <f>IF(F16="","",VLOOKUP(F16,'SELECT KELAS GASAL'!C$8:N$181,10,FALSE))</f>
        <v>-</v>
      </c>
      <c r="M16" s="52" t="str">
        <f>IF(F16="","",VLOOKUP(F16,'SELECT KELAS GASAL'!C$8:N$181,6,FALSE))</f>
        <v>C</v>
      </c>
      <c r="N16" s="52">
        <f>IF(F16="","",VLOOKUP(F16,'SELECT KELAS GASAL'!C$8:N$181,4,FALSE))</f>
        <v>1</v>
      </c>
      <c r="O16" s="52">
        <f>IF(F16="","",VLOOKUP(F16,'SELECT KELAS GASAL'!C$8:N$181,5,FALSE))</f>
        <v>4</v>
      </c>
      <c r="P16" s="52">
        <f>IF(F16="","",VLOOKUP(F16,'SELECT KELAS GASAL'!C$8:X$181,22,FALSE))</f>
        <v>35</v>
      </c>
      <c r="Q16" s="98" t="str">
        <f>IF(F16="","",VLOOKUP(F16,'SELECT KELAS GASAL'!C$8:N$181,11,FALSE))</f>
        <v>Morteza Muthahhari, S.Kom., M.T.I</v>
      </c>
      <c r="R16" s="52" t="s">
        <v>173</v>
      </c>
    </row>
    <row r="17" spans="2:18" s="26" customFormat="1" ht="34.950000000000003" customHeight="1" x14ac:dyDescent="0.3">
      <c r="B17" s="274"/>
      <c r="C17" s="51">
        <v>0.4236111111111111</v>
      </c>
      <c r="D17" s="51" t="str">
        <f t="shared" si="1"/>
        <v>s/d</v>
      </c>
      <c r="E17" s="51">
        <f t="shared" si="2"/>
        <v>0.49305555555555558</v>
      </c>
      <c r="F17" s="101" t="s">
        <v>370</v>
      </c>
      <c r="G17" s="115" t="s">
        <v>394</v>
      </c>
      <c r="H17" s="52" t="str">
        <f>IF(F17="","",VLOOKUP(F17,'SELECT KELAS GASAL'!C$8:N$175,2,FALSE))</f>
        <v>INF-55201-302</v>
      </c>
      <c r="I17" s="98" t="str">
        <f>IF(F17="","",VLOOKUP(F17,'SELECT KELAS GASAL'!C$8:N$175,3,FALSE))</f>
        <v>Pemrograman  Web *</v>
      </c>
      <c r="J17" s="52" t="str">
        <f>IF(F17="","",VLOOKUP(F17,'SELECT KELAS GASAL'!C$8:N$181,12,FALSE))</f>
        <v>EE / FA</v>
      </c>
      <c r="K17" s="52" t="str">
        <f>IF(F17="","",VLOOKUP(F17,'SELECT KELAS GASAL'!C$8:N$181,8,FALSE))</f>
        <v>EE</v>
      </c>
      <c r="L17" s="52" t="str">
        <f>IF(F17="","",VLOOKUP(F17,'SELECT KELAS GASAL'!C$8:N$181,10,FALSE))</f>
        <v>FA</v>
      </c>
      <c r="M17" s="52" t="str">
        <f>IF(F17="","",VLOOKUP(F17,'SELECT KELAS GASAL'!C$8:N$181,6,FALSE))</f>
        <v>B</v>
      </c>
      <c r="N17" s="52">
        <f>IF(F17="","",VLOOKUP(F17,'SELECT KELAS GASAL'!C$8:N$181,4,FALSE))</f>
        <v>5</v>
      </c>
      <c r="O17" s="52">
        <f>IF(F17="","",VLOOKUP(F17,'SELECT KELAS GASAL'!C$8:N$181,5,FALSE))</f>
        <v>4</v>
      </c>
      <c r="P17" s="52">
        <f>IF(F17="","",VLOOKUP(F17,'SELECT KELAS GASAL'!C$8:X$181,22,FALSE))</f>
        <v>25</v>
      </c>
      <c r="Q17" s="98" t="str">
        <f>IF(F17="","",VLOOKUP(F17,'SELECT KELAS GASAL'!C$8:N$181,11,FALSE))</f>
        <v>Enda Esyudha Pratama, S.T., M.T. / Fauzan Asrin, S.Kom, M. Kom.</v>
      </c>
      <c r="R17" s="52" t="s">
        <v>173</v>
      </c>
    </row>
    <row r="18" spans="2:18" s="26" customFormat="1" ht="34.950000000000003" customHeight="1" x14ac:dyDescent="0.3">
      <c r="B18" s="274"/>
      <c r="C18" s="51"/>
      <c r="D18" s="51" t="str">
        <f t="shared" si="1"/>
        <v/>
      </c>
      <c r="E18" s="51" t="str">
        <f t="shared" si="2"/>
        <v/>
      </c>
      <c r="F18" s="101"/>
      <c r="G18" s="115" t="s">
        <v>394</v>
      </c>
      <c r="H18" s="52" t="str">
        <f>IF(F18="","",VLOOKUP(F18,'SELECT KELAS GASAL'!C$8:N$175,2,FALSE))</f>
        <v/>
      </c>
      <c r="I18" s="98" t="str">
        <f>IF(F18="","",VLOOKUP(F18,'SELECT KELAS GASAL'!C$8:N$175,3,FALSE))</f>
        <v/>
      </c>
      <c r="J18" s="52" t="str">
        <f>IF(F18="","",VLOOKUP(F18,'SELECT KELAS GASAL'!C$8:N$181,12,FALSE))</f>
        <v/>
      </c>
      <c r="K18" s="52" t="str">
        <f>IF(F18="","",VLOOKUP(F18,'SELECT KELAS GASAL'!C$8:N$181,8,FALSE))</f>
        <v/>
      </c>
      <c r="L18" s="52" t="str">
        <f>IF(F18="","",VLOOKUP(F18,'SELECT KELAS GASAL'!C$8:N$181,10,FALSE))</f>
        <v/>
      </c>
      <c r="M18" s="52" t="str">
        <f>IF(F18="","",VLOOKUP(F18,'SELECT KELAS GASAL'!C$8:N$181,6,FALSE))</f>
        <v/>
      </c>
      <c r="N18" s="52" t="str">
        <f>IF(F18="","",VLOOKUP(F18,'SELECT KELAS GASAL'!C$8:N$181,4,FALSE))</f>
        <v/>
      </c>
      <c r="O18" s="52" t="str">
        <f>IF(F18="","",VLOOKUP(F18,'SELECT KELAS GASAL'!C$8:N$181,5,FALSE))</f>
        <v/>
      </c>
      <c r="P18" s="52" t="str">
        <f>IF(F18="","",VLOOKUP(F18,'SELECT KELAS GASAL'!C$8:X$181,22,FALSE))</f>
        <v/>
      </c>
      <c r="Q18" s="98" t="str">
        <f>IF(F18="","",VLOOKUP(F18,'SELECT KELAS GASAL'!C$8:N$181,11,FALSE))</f>
        <v/>
      </c>
      <c r="R18" s="52"/>
    </row>
    <row r="19" spans="2:18" s="26" customFormat="1" ht="34.950000000000003" customHeight="1" x14ac:dyDescent="0.3">
      <c r="B19" s="274"/>
      <c r="C19" s="51">
        <v>0.53125</v>
      </c>
      <c r="D19" s="51" t="str">
        <f t="shared" si="1"/>
        <v>s/d</v>
      </c>
      <c r="E19" s="51">
        <f t="shared" si="2"/>
        <v>0.60069444444444442</v>
      </c>
      <c r="F19" s="101" t="s">
        <v>399</v>
      </c>
      <c r="G19" s="115" t="s">
        <v>394</v>
      </c>
      <c r="H19" s="52" t="str">
        <f>IF(F19="","",VLOOKUP(F19,'SELECT KELAS GASAL'!C$8:N$175,2,FALSE))</f>
        <v>INF-55201-202</v>
      </c>
      <c r="I19" s="98" t="str">
        <f>IF(F19="","",VLOOKUP(F19,'SELECT KELAS GASAL'!C$8:N$175,3,FALSE))</f>
        <v>Teori  Graf  </v>
      </c>
      <c r="J19" s="52" t="str">
        <f>IF(F19="","",VLOOKUP(F19,'SELECT KELAS GASAL'!C$8:N$181,12,FALSE))</f>
        <v>HN / AAJ</v>
      </c>
      <c r="K19" s="52" t="str">
        <f>IF(F19="","",VLOOKUP(F19,'SELECT KELAS GASAL'!C$8:N$181,8,FALSE))</f>
        <v>HN</v>
      </c>
      <c r="L19" s="52" t="str">
        <f>IF(F19="","",VLOOKUP(F19,'SELECT KELAS GASAL'!C$8:N$181,10,FALSE))</f>
        <v>AAJ</v>
      </c>
      <c r="M19" s="52" t="str">
        <f>IF(F19="","",VLOOKUP(F19,'SELECT KELAS GASAL'!C$8:N$181,6,FALSE))</f>
        <v>A</v>
      </c>
      <c r="N19" s="52">
        <f>IF(F19="","",VLOOKUP(F19,'SELECT KELAS GASAL'!C$8:N$181,4,FALSE))</f>
        <v>3</v>
      </c>
      <c r="O19" s="52">
        <f>IF(F19="","",VLOOKUP(F19,'SELECT KELAS GASAL'!C$8:N$181,5,FALSE))</f>
        <v>2</v>
      </c>
      <c r="P19" s="52">
        <f>IF(F19="","",VLOOKUP(F19,'SELECT KELAS GASAL'!C$8:X$181,22,FALSE))</f>
        <v>25</v>
      </c>
      <c r="Q19" s="98" t="str">
        <f>IF(F19="","",VLOOKUP(F19,'SELECT KELAS GASAL'!C$8:N$181,11,FALSE))</f>
        <v>Haried Novriando, S.Kom, M.Eng / Alfian Abdul Jalid, S.Kom., M.Cs.</v>
      </c>
      <c r="R19" s="52" t="s">
        <v>173</v>
      </c>
    </row>
    <row r="20" spans="2:18" s="26" customFormat="1" ht="34.950000000000003" customHeight="1" x14ac:dyDescent="0.3">
      <c r="B20" s="274"/>
      <c r="C20" s="51">
        <v>0.53125</v>
      </c>
      <c r="D20" s="51" t="str">
        <f t="shared" si="1"/>
        <v>s/d</v>
      </c>
      <c r="E20" s="51">
        <f t="shared" si="2"/>
        <v>0.60069444444444442</v>
      </c>
      <c r="F20" s="101" t="s">
        <v>303</v>
      </c>
      <c r="G20" s="115" t="s">
        <v>394</v>
      </c>
      <c r="H20" s="52" t="str">
        <f>IF(F20="","",VLOOKUP(F20,'SELECT KELAS GASAL'!C$8:N$175,2,FALSE))</f>
        <v>INF-55201-103</v>
      </c>
      <c r="I20" s="98" t="str">
        <f>IF(F20="","",VLOOKUP(F20,'SELECT KELAS GASAL'!C$8:N$175,3,FALSE))</f>
        <v>Dasar  Pemrograman*</v>
      </c>
      <c r="J20" s="52" t="str">
        <f>IF(F20="","",VLOOKUP(F20,'SELECT KELAS GASAL'!C$8:N$181,12,FALSE))</f>
        <v>TZ</v>
      </c>
      <c r="K20" s="52" t="str">
        <f>IF(F20="","",VLOOKUP(F20,'SELECT KELAS GASAL'!C$8:N$181,8,FALSE))</f>
        <v>TZ</v>
      </c>
      <c r="L20" s="52" t="str">
        <f>IF(F20="","",VLOOKUP(F20,'SELECT KELAS GASAL'!C$8:N$181,10,FALSE))</f>
        <v>-</v>
      </c>
      <c r="M20" s="52" t="str">
        <f>IF(F20="","",VLOOKUP(F20,'SELECT KELAS GASAL'!C$8:N$181,6,FALSE))</f>
        <v>C</v>
      </c>
      <c r="N20" s="52">
        <f>IF(F20="","",VLOOKUP(F20,'SELECT KELAS GASAL'!C$8:N$181,4,FALSE))</f>
        <v>1</v>
      </c>
      <c r="O20" s="52">
        <f>IF(F20="","",VLOOKUP(F20,'SELECT KELAS GASAL'!C$8:N$181,5,FALSE))</f>
        <v>4</v>
      </c>
      <c r="P20" s="52">
        <f>IF(F20="","",VLOOKUP(F20,'SELECT KELAS GASAL'!C$8:X$181,22,FALSE))</f>
        <v>35</v>
      </c>
      <c r="Q20" s="98" t="str">
        <f>IF(F20="","",VLOOKUP(F20,'SELECT KELAS GASAL'!C$8:N$181,11,FALSE))</f>
        <v>Morteza Muthahhari, S.Kom., M.T.I</v>
      </c>
      <c r="R20" s="52" t="s">
        <v>173</v>
      </c>
    </row>
    <row r="21" spans="2:18" s="26" customFormat="1" ht="34.950000000000003" customHeight="1" x14ac:dyDescent="0.3">
      <c r="B21" s="274"/>
      <c r="C21" s="51">
        <v>0.53125</v>
      </c>
      <c r="D21" s="51" t="str">
        <f t="shared" si="1"/>
        <v>s/d</v>
      </c>
      <c r="E21" s="51">
        <f t="shared" si="2"/>
        <v>0.60069444444444442</v>
      </c>
      <c r="F21" s="101" t="s">
        <v>373</v>
      </c>
      <c r="G21" s="115" t="s">
        <v>394</v>
      </c>
      <c r="H21" s="52" t="str">
        <f>IF(F21="","",VLOOKUP(F21,'SELECT KELAS GASAL'!C$8:N$175,2,FALSE))</f>
        <v>INF-55201-311</v>
      </c>
      <c r="I21" s="98" t="str">
        <f>IF(F21="","",VLOOKUP(F21,'SELECT KELAS GASAL'!C$8:N$175,3,FALSE))</f>
        <v>Riset Operasi</v>
      </c>
      <c r="J21" s="52" t="str">
        <f>IF(F21="","",VLOOKUP(F21,'SELECT KELAS GASAL'!C$8:N$181,12,FALSE))</f>
        <v>EFR / KH</v>
      </c>
      <c r="K21" s="52" t="str">
        <f>IF(F21="","",VLOOKUP(F21,'SELECT KELAS GASAL'!C$8:N$181,8,FALSE))</f>
        <v>EFR</v>
      </c>
      <c r="L21" s="52" t="str">
        <f>IF(F21="","",VLOOKUP(F21,'SELECT KELAS GASAL'!C$8:N$181,10,FALSE))</f>
        <v>KH</v>
      </c>
      <c r="M21" s="52" t="str">
        <f>IF(F21="","",VLOOKUP(F21,'SELECT KELAS GASAL'!C$8:N$181,6,FALSE))</f>
        <v>A</v>
      </c>
      <c r="N21" s="52">
        <f>IF(F21="","",VLOOKUP(F21,'SELECT KELAS GASAL'!C$8:N$181,4,FALSE))</f>
        <v>5</v>
      </c>
      <c r="O21" s="52">
        <f>IF(F21="","",VLOOKUP(F21,'SELECT KELAS GASAL'!C$8:N$181,5,FALSE))</f>
        <v>2</v>
      </c>
      <c r="P21" s="52">
        <f>IF(F21="","",VLOOKUP(F21,'SELECT KELAS GASAL'!C$8:X$181,22,FALSE))</f>
        <v>20</v>
      </c>
      <c r="Q21" s="98" t="str">
        <f>IF(F21="","",VLOOKUP(F21,'SELECT KELAS GASAL'!C$8:N$181,11,FALSE))</f>
        <v>Eva Faja Ripanti, S.Kom, MMSI, Ph.D / Khairul Hafidh, S.T., M.Kom.</v>
      </c>
      <c r="R21" s="52" t="s">
        <v>173</v>
      </c>
    </row>
    <row r="22" spans="2:18" s="26" customFormat="1" ht="34.950000000000003" customHeight="1" x14ac:dyDescent="0.3">
      <c r="B22" s="274"/>
      <c r="C22" s="51">
        <v>0.53125</v>
      </c>
      <c r="D22" s="51" t="str">
        <f t="shared" si="1"/>
        <v>s/d</v>
      </c>
      <c r="E22" s="51">
        <f t="shared" si="2"/>
        <v>0.60069444444444442</v>
      </c>
      <c r="F22" s="101" t="s">
        <v>370</v>
      </c>
      <c r="G22" s="115" t="s">
        <v>394</v>
      </c>
      <c r="H22" s="52" t="str">
        <f>IF(F22="","",VLOOKUP(F22,'SELECT KELAS GASAL'!C$8:N$175,2,FALSE))</f>
        <v>INF-55201-302</v>
      </c>
      <c r="I22" s="98" t="str">
        <f>IF(F22="","",VLOOKUP(F22,'SELECT KELAS GASAL'!C$8:N$175,3,FALSE))</f>
        <v>Pemrograman  Web *</v>
      </c>
      <c r="J22" s="52" t="str">
        <f>IF(F22="","",VLOOKUP(F22,'SELECT KELAS GASAL'!C$8:N$181,12,FALSE))</f>
        <v>EE / FA</v>
      </c>
      <c r="K22" s="52" t="str">
        <f>IF(F22="","",VLOOKUP(F22,'SELECT KELAS GASAL'!C$8:N$181,8,FALSE))</f>
        <v>EE</v>
      </c>
      <c r="L22" s="52" t="str">
        <f>IF(F22="","",VLOOKUP(F22,'SELECT KELAS GASAL'!C$8:N$181,10,FALSE))</f>
        <v>FA</v>
      </c>
      <c r="M22" s="52" t="str">
        <f>IF(F22="","",VLOOKUP(F22,'SELECT KELAS GASAL'!C$8:N$181,6,FALSE))</f>
        <v>B</v>
      </c>
      <c r="N22" s="52">
        <f>IF(F22="","",VLOOKUP(F22,'SELECT KELAS GASAL'!C$8:N$181,4,FALSE))</f>
        <v>5</v>
      </c>
      <c r="O22" s="52">
        <f>IF(F22="","",VLOOKUP(F22,'SELECT KELAS GASAL'!C$8:N$181,5,FALSE))</f>
        <v>4</v>
      </c>
      <c r="P22" s="52">
        <f>IF(F22="","",VLOOKUP(F22,'SELECT KELAS GASAL'!C$8:X$181,22,FALSE))</f>
        <v>25</v>
      </c>
      <c r="Q22" s="98" t="str">
        <f>IF(F22="","",VLOOKUP(F22,'SELECT KELAS GASAL'!C$8:N$181,11,FALSE))</f>
        <v>Enda Esyudha Pratama, S.T., M.T. / Fauzan Asrin, S.Kom, M. Kom.</v>
      </c>
      <c r="R22" s="52" t="s">
        <v>173</v>
      </c>
    </row>
    <row r="23" spans="2:18" s="26" customFormat="1" ht="34.950000000000003" customHeight="1" x14ac:dyDescent="0.3">
      <c r="B23" s="274"/>
      <c r="C23" s="51"/>
      <c r="D23" s="51" t="str">
        <f t="shared" si="1"/>
        <v/>
      </c>
      <c r="E23" s="51" t="str">
        <f t="shared" si="2"/>
        <v/>
      </c>
      <c r="F23" s="101"/>
      <c r="G23" s="115" t="s">
        <v>394</v>
      </c>
      <c r="H23" s="52" t="str">
        <f>IF(F23="","",VLOOKUP(F23,'SELECT KELAS GASAL'!C$8:N$175,2,FALSE))</f>
        <v/>
      </c>
      <c r="I23" s="98" t="str">
        <f>IF(F23="","",VLOOKUP(F23,'SELECT KELAS GASAL'!C$8:N$175,3,FALSE))</f>
        <v/>
      </c>
      <c r="J23" s="52" t="str">
        <f>IF(F23="","",VLOOKUP(F23,'SELECT KELAS GASAL'!C$8:N$181,12,FALSE))</f>
        <v/>
      </c>
      <c r="K23" s="52" t="str">
        <f>IF(F23="","",VLOOKUP(F23,'SELECT KELAS GASAL'!C$8:N$181,8,FALSE))</f>
        <v/>
      </c>
      <c r="L23" s="52" t="str">
        <f>IF(F23="","",VLOOKUP(F23,'SELECT KELAS GASAL'!C$8:N$181,10,FALSE))</f>
        <v/>
      </c>
      <c r="M23" s="52" t="str">
        <f>IF(F23="","",VLOOKUP(F23,'SELECT KELAS GASAL'!C$8:N$181,6,FALSE))</f>
        <v/>
      </c>
      <c r="N23" s="52" t="str">
        <f>IF(F23="","",VLOOKUP(F23,'SELECT KELAS GASAL'!C$8:N$181,4,FALSE))</f>
        <v/>
      </c>
      <c r="O23" s="52" t="str">
        <f>IF(F23="","",VLOOKUP(F23,'SELECT KELAS GASAL'!C$8:N$181,5,FALSE))</f>
        <v/>
      </c>
      <c r="P23" s="52" t="str">
        <f>IF(F23="","",VLOOKUP(F23,'SELECT KELAS GASAL'!C$8:X$181,22,FALSE))</f>
        <v/>
      </c>
      <c r="Q23" s="98" t="str">
        <f>IF(F23="","",VLOOKUP(F23,'SELECT KELAS GASAL'!C$8:N$181,11,FALSE))</f>
        <v/>
      </c>
      <c r="R23" s="52"/>
    </row>
    <row r="24" spans="2:18" ht="34.950000000000003" customHeight="1" x14ac:dyDescent="0.3">
      <c r="B24" s="274"/>
      <c r="C24" s="51">
        <v>0.60416666666666663</v>
      </c>
      <c r="D24" s="51" t="str">
        <f t="shared" si="1"/>
        <v>s/d</v>
      </c>
      <c r="E24" s="51">
        <f t="shared" si="2"/>
        <v>0.70833333333333326</v>
      </c>
      <c r="F24" s="101" t="s">
        <v>351</v>
      </c>
      <c r="G24" s="115" t="s">
        <v>394</v>
      </c>
      <c r="H24" s="52" t="str">
        <f>IF(F24="","",VLOOKUP(F24,'SELECT KELAS GASAL'!C$8:N$175,2,FALSE))</f>
        <v>INF-55201-102</v>
      </c>
      <c r="I24" s="98" t="str">
        <f>IF(F24="","",VLOOKUP(F24,'SELECT KELAS GASAL'!C$8:N$175,3,FALSE))</f>
        <v>Logika Informatika</v>
      </c>
      <c r="J24" s="52" t="str">
        <f>IF(F24="","",VLOOKUP(F24,'SELECT KELAS GASAL'!C$8:N$181,12,FALSE))</f>
        <v>TR / NC</v>
      </c>
      <c r="K24" s="52" t="str">
        <f>IF(F24="","",VLOOKUP(F24,'SELECT KELAS GASAL'!C$8:N$181,8,FALSE))</f>
        <v>TR</v>
      </c>
      <c r="L24" s="52" t="str">
        <f>IF(F24="","",VLOOKUP(F24,'SELECT KELAS GASAL'!C$8:N$181,10,FALSE))</f>
        <v>NC</v>
      </c>
      <c r="M24" s="52" t="str">
        <f>IF(F24="","",VLOOKUP(F24,'SELECT KELAS GASAL'!C$8:N$181,6,FALSE))</f>
        <v>A</v>
      </c>
      <c r="N24" s="52">
        <f>IF(F24="","",VLOOKUP(F24,'SELECT KELAS GASAL'!C$8:N$181,4,FALSE))</f>
        <v>1</v>
      </c>
      <c r="O24" s="52">
        <f>IF(F24="","",VLOOKUP(F24,'SELECT KELAS GASAL'!C$8:N$181,5,FALSE))</f>
        <v>3</v>
      </c>
      <c r="P24" s="52">
        <f>IF(F24="","",VLOOKUP(F24,'SELECT KELAS GASAL'!C$8:X$181,22,FALSE))</f>
        <v>35</v>
      </c>
      <c r="Q24" s="98" t="str">
        <f>IF(F24="","",VLOOKUP(F24,'SELECT KELAS GASAL'!C$8:N$181,11,FALSE))</f>
        <v>Tursina ST, M.Cs / Niken Candraningrum, S.T., M.Cs.</v>
      </c>
      <c r="R24" s="52" t="s">
        <v>173</v>
      </c>
    </row>
    <row r="25" spans="2:18" ht="34.950000000000003" customHeight="1" x14ac:dyDescent="0.3">
      <c r="B25" s="274"/>
      <c r="C25" s="51">
        <v>0.60416666666666663</v>
      </c>
      <c r="D25" s="51" t="str">
        <f t="shared" si="1"/>
        <v>s/d</v>
      </c>
      <c r="E25" s="51">
        <f t="shared" si="2"/>
        <v>0.70833333333333326</v>
      </c>
      <c r="F25" s="101" t="s">
        <v>378</v>
      </c>
      <c r="G25" s="115" t="s">
        <v>394</v>
      </c>
      <c r="H25" s="52" t="str">
        <f>IF(F25="","",VLOOKUP(F25,'SELECT KELAS GASAL'!C$8:N$175,2,FALSE))</f>
        <v>UMG-55201-105</v>
      </c>
      <c r="I25" s="98" t="str">
        <f>IF(F25="","",VLOOKUP(F25,'SELECT KELAS GASAL'!C$8:N$175,3,FALSE))</f>
        <v>Pendidikan Agama</v>
      </c>
      <c r="J25" s="52" t="str">
        <f>IF(F25="","",VLOOKUP(F25,'SELECT KELAS GASAL'!C$8:N$181,12,FALSE))</f>
        <v>MKU</v>
      </c>
      <c r="K25" s="52" t="str">
        <f>IF(F25="","",VLOOKUP(F25,'SELECT KELAS GASAL'!C$8:N$181,8,FALSE))</f>
        <v>MKU</v>
      </c>
      <c r="L25" s="52" t="str">
        <f>IF(F25="","",VLOOKUP(F25,'SELECT KELAS GASAL'!C$8:N$181,10,FALSE))</f>
        <v>-</v>
      </c>
      <c r="M25" s="52" t="str">
        <f>IF(F25="","",VLOOKUP(F25,'SELECT KELAS GASAL'!C$8:N$181,6,FALSE))</f>
        <v>C</v>
      </c>
      <c r="N25" s="52">
        <f>IF(F25="","",VLOOKUP(F25,'SELECT KELAS GASAL'!C$8:N$181,4,FALSE))</f>
        <v>1</v>
      </c>
      <c r="O25" s="52">
        <f>IF(F25="","",VLOOKUP(F25,'SELECT KELAS GASAL'!C$8:N$181,5,FALSE))</f>
        <v>3</v>
      </c>
      <c r="P25" s="52">
        <f>IF(F25="","",VLOOKUP(F25,'SELECT KELAS GASAL'!C$8:X$181,22,FALSE))</f>
        <v>35</v>
      </c>
      <c r="Q25" s="98" t="str">
        <f>IF(F25="","",VLOOKUP(F25,'SELECT KELAS GASAL'!C$8:N$181,11,FALSE))</f>
        <v>MKU</v>
      </c>
      <c r="R25" s="52" t="s">
        <v>173</v>
      </c>
    </row>
    <row r="26" spans="2:18" ht="34.950000000000003" customHeight="1" x14ac:dyDescent="0.3">
      <c r="B26" s="274"/>
      <c r="C26" s="51">
        <v>0.60416666666666663</v>
      </c>
      <c r="D26" s="51" t="str">
        <f t="shared" si="1"/>
        <v>s/d</v>
      </c>
      <c r="E26" s="51">
        <f t="shared" si="2"/>
        <v>0.70833333333333326</v>
      </c>
      <c r="F26" s="101" t="s">
        <v>369</v>
      </c>
      <c r="G26" s="115" t="s">
        <v>394</v>
      </c>
      <c r="H26" s="52" t="str">
        <f>IF(F26="","",VLOOKUP(F26,'SELECT KELAS GASAL'!C$8:N$175,2,FALSE))</f>
        <v>INF-55201-207</v>
      </c>
      <c r="I26" s="98" t="str">
        <f>IF(F26="","",VLOOKUP(F26,'SELECT KELAS GASAL'!C$8:N$175,3,FALSE))</f>
        <v>Sistem Operasi*</v>
      </c>
      <c r="J26" s="52" t="str">
        <f>IF(F26="","",VLOOKUP(F26,'SELECT KELAS GASAL'!C$8:N$181,12,FALSE))</f>
        <v>NS</v>
      </c>
      <c r="K26" s="52" t="str">
        <f>IF(F26="","",VLOOKUP(F26,'SELECT KELAS GASAL'!C$8:N$181,8,FALSE))</f>
        <v>NS</v>
      </c>
      <c r="L26" s="52" t="str">
        <f>IF(F26="","",VLOOKUP(F26,'SELECT KELAS GASAL'!C$8:N$181,10,FALSE))</f>
        <v>-</v>
      </c>
      <c r="M26" s="52" t="str">
        <f>IF(F26="","",VLOOKUP(F26,'SELECT KELAS GASAL'!C$8:N$181,6,FALSE))</f>
        <v>B</v>
      </c>
      <c r="N26" s="52">
        <f>IF(F26="","",VLOOKUP(F26,'SELECT KELAS GASAL'!C$8:N$181,4,FALSE))</f>
        <v>3</v>
      </c>
      <c r="O26" s="52">
        <f>IF(F26="","",VLOOKUP(F26,'SELECT KELAS GASAL'!C$8:N$181,5,FALSE))</f>
        <v>3</v>
      </c>
      <c r="P26" s="52">
        <f>IF(F26="","",VLOOKUP(F26,'SELECT KELAS GASAL'!C$8:X$181,22,FALSE))</f>
        <v>20</v>
      </c>
      <c r="Q26" s="98" t="str">
        <f>IF(F26="","",VLOOKUP(F26,'SELECT KELAS GASAL'!C$8:N$181,11,FALSE))</f>
        <v>Novi Safriadi, S.T., M.T.</v>
      </c>
      <c r="R26" s="52" t="s">
        <v>173</v>
      </c>
    </row>
    <row r="27" spans="2:18" ht="34.950000000000003" customHeight="1" x14ac:dyDescent="0.3">
      <c r="B27" s="274"/>
      <c r="C27" s="51">
        <v>0.60416666666666663</v>
      </c>
      <c r="D27" s="51" t="str">
        <f t="shared" si="1"/>
        <v>s/d</v>
      </c>
      <c r="E27" s="51">
        <f t="shared" si="2"/>
        <v>0.70833333333333326</v>
      </c>
      <c r="F27" s="101" t="s">
        <v>376</v>
      </c>
      <c r="G27" s="115" t="s">
        <v>394</v>
      </c>
      <c r="H27" s="52" t="str">
        <f>IF(F27="","",VLOOKUP(F27,'SELECT KELAS GASAL'!C$8:N$175,2,FALSE))</f>
        <v>INF-55201-305</v>
      </c>
      <c r="I27" s="98" t="str">
        <f>IF(F27="","",VLOOKUP(F27,'SELECT KELAS GASAL'!C$8:N$175,3,FALSE))</f>
        <v>Kecerdasan Buatan</v>
      </c>
      <c r="J27" s="52" t="str">
        <f>IF(F27="","",VLOOKUP(F27,'SELECT KELAS GASAL'!C$8:N$181,12,FALSE))</f>
        <v>YS / KH</v>
      </c>
      <c r="K27" s="52" t="str">
        <f>IF(F27="","",VLOOKUP(F27,'SELECT KELAS GASAL'!C$8:N$181,8,FALSE))</f>
        <v>YS</v>
      </c>
      <c r="L27" s="52" t="str">
        <f>IF(F27="","",VLOOKUP(F27,'SELECT KELAS GASAL'!C$8:N$181,10,FALSE))</f>
        <v>KH</v>
      </c>
      <c r="M27" s="52" t="str">
        <f>IF(F27="","",VLOOKUP(F27,'SELECT KELAS GASAL'!C$8:N$181,6,FALSE))</f>
        <v>A</v>
      </c>
      <c r="N27" s="52">
        <f>IF(F27="","",VLOOKUP(F27,'SELECT KELAS GASAL'!C$8:N$181,4,FALSE))</f>
        <v>5</v>
      </c>
      <c r="O27" s="52">
        <f>IF(F27="","",VLOOKUP(F27,'SELECT KELAS GASAL'!C$8:N$181,5,FALSE))</f>
        <v>3</v>
      </c>
      <c r="P27" s="52">
        <f>IF(F27="","",VLOOKUP(F27,'SELECT KELAS GASAL'!C$8:X$181,22,FALSE))</f>
        <v>20</v>
      </c>
      <c r="Q27" s="98" t="str">
        <f>IF(F27="","",VLOOKUP(F27,'SELECT KELAS GASAL'!C$8:N$181,11,FALSE))</f>
        <v>Dr. Yus Sholva, S.T., M.T. / Khairul Hafidh, S.T., M.Kom.</v>
      </c>
      <c r="R27" s="52" t="s">
        <v>173</v>
      </c>
    </row>
    <row r="28" spans="2:18" ht="34.799999999999997" customHeight="1" x14ac:dyDescent="0.3">
      <c r="B28" s="274"/>
      <c r="C28" s="51">
        <v>0.60416666666666663</v>
      </c>
      <c r="D28" s="51" t="str">
        <f t="shared" si="1"/>
        <v>s/d</v>
      </c>
      <c r="E28" s="51">
        <f t="shared" si="2"/>
        <v>0.70833333333333326</v>
      </c>
      <c r="F28" s="101" t="s">
        <v>403</v>
      </c>
      <c r="G28" s="115" t="s">
        <v>394</v>
      </c>
      <c r="H28" s="52" t="str">
        <f>IF(F28="","",VLOOKUP(F28,'SELECT KELAS GASAL'!C$8:N$175,2,FALSE))</f>
        <v>INF­55201­540</v>
      </c>
      <c r="I28" s="98" t="str">
        <f>IF(F28="","",VLOOKUP(F28,'SELECT KELAS GASAL'!C$8:N$175,3,FALSE))</f>
        <v>Kriptografi</v>
      </c>
      <c r="J28" s="52" t="str">
        <f>IF(F28="","",VLOOKUP(F28,'SELECT KELAS GASAL'!C$8:N$181,12,FALSE))</f>
        <v>HLN / AAJ</v>
      </c>
      <c r="K28" s="52" t="str">
        <f>IF(F28="","",VLOOKUP(F28,'SELECT KELAS GASAL'!C$8:N$181,8,FALSE))</f>
        <v>HLN</v>
      </c>
      <c r="L28" s="52" t="str">
        <f>IF(F28="","",VLOOKUP(F28,'SELECT KELAS GASAL'!C$8:N$181,10,FALSE))</f>
        <v>AAJ</v>
      </c>
      <c r="M28" s="52" t="str">
        <f>IF(F28="","",VLOOKUP(F28,'SELECT KELAS GASAL'!C$8:N$181,6,FALSE))</f>
        <v>B</v>
      </c>
      <c r="N28" s="52">
        <f>IF(F28="","",VLOOKUP(F28,'SELECT KELAS GASAL'!C$8:N$181,4,FALSE))</f>
        <v>7</v>
      </c>
      <c r="O28" s="52">
        <f>IF(F28="","",VLOOKUP(F28,'SELECT KELAS GASAL'!C$8:N$181,5,FALSE))</f>
        <v>3</v>
      </c>
      <c r="P28" s="52">
        <f>IF(F28="","",VLOOKUP(F28,'SELECT KELAS GASAL'!C$8:X$181,22,FALSE))</f>
        <v>20</v>
      </c>
      <c r="Q28" s="98" t="str">
        <f>IF(F28="","",VLOOKUP(F28,'SELECT KELAS GASAL'!C$8:N$181,11,FALSE))</f>
        <v>Helfi Nasution, S.Kom, M.Cs / Alfian Abdul Jalid, S.Kom., M.Cs.</v>
      </c>
      <c r="R28" s="52" t="s">
        <v>173</v>
      </c>
    </row>
    <row r="29" spans="2:18" ht="34.799999999999997" customHeight="1" x14ac:dyDescent="0.3">
      <c r="B29" s="121"/>
      <c r="C29" s="116"/>
      <c r="D29" s="116" t="str">
        <f t="shared" si="1"/>
        <v/>
      </c>
      <c r="E29" s="116"/>
      <c r="F29" s="117"/>
      <c r="G29" s="118" t="s">
        <v>394</v>
      </c>
      <c r="H29" s="119"/>
      <c r="I29" s="120"/>
      <c r="J29" s="119"/>
      <c r="K29" s="119" t="str">
        <f>IF(F29="","",VLOOKUP(F29,'SELECT KELAS GASAL'!C$8:N$181,8,FALSE))</f>
        <v/>
      </c>
      <c r="L29" s="119" t="str">
        <f>IF(F29="","",VLOOKUP(F29,'SELECT KELAS GASAL'!C$8:N$181,10,FALSE))</f>
        <v/>
      </c>
      <c r="M29" s="119"/>
      <c r="N29" s="119"/>
      <c r="O29" s="119"/>
      <c r="P29" s="52" t="str">
        <f>IF(F29="","",VLOOKUP(F29,'SELECT KELAS GASAL'!C$8:X$181,22,FALSE))</f>
        <v/>
      </c>
      <c r="Q29" s="120" t="str">
        <f>IF(F29="","",VLOOKUP(F29,'SELECT KELAS GASAL'!C$8:N$181,11,FALSE))</f>
        <v/>
      </c>
      <c r="R29" s="119"/>
    </row>
    <row r="30" spans="2:18" ht="34.950000000000003" customHeight="1" x14ac:dyDescent="0.3">
      <c r="B30" s="272" t="s">
        <v>326</v>
      </c>
      <c r="C30" s="51">
        <v>1.3125</v>
      </c>
      <c r="D30" s="51" t="str">
        <f t="shared" si="1"/>
        <v>s/d</v>
      </c>
      <c r="E30" s="51">
        <f t="shared" ref="E30:E47" si="3">IF(O30="","",(IF(O30=4,C30+TIME(0,2*50,0),C30+TIME(0,O30*50,0))))</f>
        <v>1.4166666666666667</v>
      </c>
      <c r="F30" s="101" t="s">
        <v>353</v>
      </c>
      <c r="G30" s="115" t="s">
        <v>394</v>
      </c>
      <c r="H30" s="52" t="str">
        <f>IF(F30="","",VLOOKUP(F30,'SELECT KELAS GASAL'!C$8:N$181,2,FALSE))</f>
        <v>INF-55201-101</v>
      </c>
      <c r="I30" s="98" t="str">
        <f>IF(F30="","",VLOOKUP(F30,'SELECT KELAS GASAL'!C$8:N$181,3,FALSE))</f>
        <v>Matematika  Dasar I</v>
      </c>
      <c r="J30" s="52" t="str">
        <f>IF(F30="","",VLOOKUP(F30,'SELECT KELAS GASAL'!C$8:N$181,12,FALSE))</f>
        <v>AS / NC</v>
      </c>
      <c r="K30" s="52" t="str">
        <f>IF(F30="","",VLOOKUP(F30,'SELECT KELAS GASAL'!C$8:N$181,8,FALSE))</f>
        <v>AS</v>
      </c>
      <c r="L30" s="52" t="str">
        <f>IF(F30="","",VLOOKUP(F30,'SELECT KELAS GASAL'!C$8:N$181,10,FALSE))</f>
        <v>NC</v>
      </c>
      <c r="M30" s="52" t="str">
        <f>IF(F30="","",VLOOKUP(F30,'SELECT KELAS GASAL'!C$8:N$181,6,FALSE))</f>
        <v>C</v>
      </c>
      <c r="N30" s="52">
        <f>IF(F30="","",VLOOKUP(F30,'SELECT KELAS GASAL'!C$8:N$181,4,FALSE))</f>
        <v>1</v>
      </c>
      <c r="O30" s="52">
        <f>IF(F30="","",VLOOKUP(F30,'SELECT KELAS GASAL'!C$8:N$181,5,FALSE))</f>
        <v>3</v>
      </c>
      <c r="P30" s="52">
        <f>IF(F30="","",VLOOKUP(F30,'SELECT KELAS GASAL'!C$8:X$181,22,FALSE))</f>
        <v>25</v>
      </c>
      <c r="Q30" s="98" t="str">
        <f>IF(F30="","",VLOOKUP(F30,'SELECT KELAS GASAL'!C$8:N$181,11,FALSE))</f>
        <v>Anggi Srimurdianti, S.T., M.T. / Niken Candraningrum, S.T., M.Cs.</v>
      </c>
      <c r="R30" s="52" t="s">
        <v>173</v>
      </c>
    </row>
    <row r="31" spans="2:18" ht="34.950000000000003" customHeight="1" x14ac:dyDescent="0.3">
      <c r="B31" s="272"/>
      <c r="C31" s="51">
        <v>1.3125</v>
      </c>
      <c r="D31" s="51" t="str">
        <f t="shared" si="1"/>
        <v>s/d</v>
      </c>
      <c r="E31" s="51">
        <f t="shared" si="3"/>
        <v>1.4166666666666667</v>
      </c>
      <c r="F31" s="101" t="s">
        <v>406</v>
      </c>
      <c r="G31" s="115" t="s">
        <v>394</v>
      </c>
      <c r="H31" s="52" t="str">
        <f>IF(F31="","",VLOOKUP(F31,'SELECT KELAS GASAL'!C$8:N$181,2,FALSE))</f>
        <v>INF-55201-203</v>
      </c>
      <c r="I31" s="98" t="str">
        <f>IF(F31="","",VLOOKUP(F31,'SELECT KELAS GASAL'!C$8:N$181,3,FALSE))</f>
        <v>Matematika  Diskrit  </v>
      </c>
      <c r="J31" s="52" t="str">
        <f>IF(F31="","",VLOOKUP(F31,'SELECT KELAS GASAL'!C$8:N$181,12,FALSE))</f>
        <v>YL</v>
      </c>
      <c r="K31" s="52" t="str">
        <f>IF(F31="","",VLOOKUP(F31,'SELECT KELAS GASAL'!C$8:N$181,8,FALSE))</f>
        <v>YL</v>
      </c>
      <c r="L31" s="52" t="str">
        <f>IF(F31="","",VLOOKUP(F31,'SELECT KELAS GASAL'!C$8:N$181,10,FALSE))</f>
        <v>-</v>
      </c>
      <c r="M31" s="52" t="str">
        <f>IF(F31="","",VLOOKUP(F31,'SELECT KELAS GASAL'!C$8:N$181,6,FALSE))</f>
        <v>B</v>
      </c>
      <c r="N31" s="52">
        <f>IF(F31="","",VLOOKUP(F31,'SELECT KELAS GASAL'!C$8:N$181,4,FALSE))</f>
        <v>3</v>
      </c>
      <c r="O31" s="52">
        <f>IF(F31="","",VLOOKUP(F31,'SELECT KELAS GASAL'!C$8:N$181,5,FALSE))</f>
        <v>3</v>
      </c>
      <c r="P31" s="52">
        <f>IF(F31="","",VLOOKUP(F31,'SELECT KELAS GASAL'!C$8:X$181,22,FALSE))</f>
        <v>25</v>
      </c>
      <c r="Q31" s="98" t="str">
        <f>IF(F31="","",VLOOKUP(F31,'SELECT KELAS GASAL'!C$8:N$181,11,FALSE))</f>
        <v>Yulianti,S.Kom, MMSI</v>
      </c>
      <c r="R31" s="52" t="s">
        <v>173</v>
      </c>
    </row>
    <row r="32" spans="2:18" ht="34.950000000000003" customHeight="1" x14ac:dyDescent="0.3">
      <c r="B32" s="272"/>
      <c r="C32" s="51">
        <v>1.3125</v>
      </c>
      <c r="D32" s="51" t="str">
        <f t="shared" si="1"/>
        <v>s/d</v>
      </c>
      <c r="E32" s="51">
        <f t="shared" si="3"/>
        <v>1.4166666666666667</v>
      </c>
      <c r="F32" s="101" t="s">
        <v>308</v>
      </c>
      <c r="G32" s="115" t="s">
        <v>394</v>
      </c>
      <c r="H32" s="52" t="str">
        <f>IF(F32="","",VLOOKUP(F32,'SELECT KELAS GASAL'!C$8:N$181,2,FALSE))</f>
        <v>INF-55201-303</v>
      </c>
      <c r="I32" s="98" t="str">
        <f>IF(F32="","",VLOOKUP(F32,'SELECT KELAS GASAL'!C$8:N$181,3,FALSE))</f>
        <v>Pemrograman Jaringan *</v>
      </c>
      <c r="J32" s="52" t="str">
        <f>IF(F32="","",VLOOKUP(F32,'SELECT KELAS GASAL'!C$8:N$181,12,FALSE))</f>
        <v>HP</v>
      </c>
      <c r="K32" s="52" t="str">
        <f>IF(F32="","",VLOOKUP(F32,'SELECT KELAS GASAL'!C$8:N$181,8,FALSE))</f>
        <v>HP</v>
      </c>
      <c r="L32" s="52" t="str">
        <f>IF(F32="","",VLOOKUP(F32,'SELECT KELAS GASAL'!C$8:N$181,10,FALSE))</f>
        <v>-</v>
      </c>
      <c r="M32" s="52" t="str">
        <f>IF(F32="","",VLOOKUP(F32,'SELECT KELAS GASAL'!C$8:N$181,6,FALSE))</f>
        <v>A</v>
      </c>
      <c r="N32" s="52">
        <f>IF(F32="","",VLOOKUP(F32,'SELECT KELAS GASAL'!C$8:N$181,4,FALSE))</f>
        <v>5</v>
      </c>
      <c r="O32" s="52">
        <f>IF(F32="","",VLOOKUP(F32,'SELECT KELAS GASAL'!C$8:N$181,5,FALSE))</f>
        <v>3</v>
      </c>
      <c r="P32" s="52">
        <f>IF(F32="","",VLOOKUP(F32,'SELECT KELAS GASAL'!C$8:X$181,22,FALSE))</f>
        <v>25</v>
      </c>
      <c r="Q32" s="98" t="str">
        <f>IF(F32="","",VLOOKUP(F32,'SELECT KELAS GASAL'!C$8:N$181,11,FALSE))</f>
        <v>Heri Priyanto,S.T., M.T.</v>
      </c>
      <c r="R32" s="52" t="s">
        <v>173</v>
      </c>
    </row>
    <row r="33" spans="2:18" ht="34.950000000000003" customHeight="1" x14ac:dyDescent="0.3">
      <c r="B33" s="272"/>
      <c r="C33" s="51">
        <v>1.3125</v>
      </c>
      <c r="D33" s="51" t="str">
        <f t="shared" si="1"/>
        <v>s/d</v>
      </c>
      <c r="E33" s="51">
        <f t="shared" si="3"/>
        <v>1.4166666666666667</v>
      </c>
      <c r="F33" s="101" t="s">
        <v>363</v>
      </c>
      <c r="G33" s="115" t="s">
        <v>394</v>
      </c>
      <c r="H33" s="52" t="str">
        <f>IF(F33="","",VLOOKUP(F33,'SELECT KELAS GASAL'!C$8:N$181,2,FALSE))</f>
        <v>INF-55201-305</v>
      </c>
      <c r="I33" s="98" t="str">
        <f>IF(F33="","",VLOOKUP(F33,'SELECT KELAS GASAL'!C$8:N$181,3,FALSE))</f>
        <v>Kecerdasan Buatan</v>
      </c>
      <c r="J33" s="52" t="str">
        <f>IF(F33="","",VLOOKUP(F33,'SELECT KELAS GASAL'!C$8:N$181,12,FALSE))</f>
        <v>TR / RS</v>
      </c>
      <c r="K33" s="52" t="str">
        <f>IF(F33="","",VLOOKUP(F33,'SELECT KELAS GASAL'!C$8:N$181,8,FALSE))</f>
        <v>TR</v>
      </c>
      <c r="L33" s="52" t="str">
        <f>IF(F33="","",VLOOKUP(F33,'SELECT KELAS GASAL'!C$8:N$181,10,FALSE))</f>
        <v>RS</v>
      </c>
      <c r="M33" s="52" t="str">
        <f>IF(F33="","",VLOOKUP(F33,'SELECT KELAS GASAL'!C$8:N$181,6,FALSE))</f>
        <v>C</v>
      </c>
      <c r="N33" s="52">
        <f>IF(F33="","",VLOOKUP(F33,'SELECT KELAS GASAL'!C$8:N$181,4,FALSE))</f>
        <v>5</v>
      </c>
      <c r="O33" s="52">
        <f>IF(F33="","",VLOOKUP(F33,'SELECT KELAS GASAL'!C$8:N$181,5,FALSE))</f>
        <v>3</v>
      </c>
      <c r="P33" s="52">
        <f>IF(F33="","",VLOOKUP(F33,'SELECT KELAS GASAL'!C$8:X$181,22,FALSE))</f>
        <v>20</v>
      </c>
      <c r="Q33" s="98" t="str">
        <f>IF(F33="","",VLOOKUP(F33,'SELECT KELAS GASAL'!C$8:N$181,11,FALSE))</f>
        <v>Tursina ST, M.Cs / Rina Septiriana, S.T., M.Cs.</v>
      </c>
      <c r="R33" s="52" t="s">
        <v>173</v>
      </c>
    </row>
    <row r="34" spans="2:18" ht="34.950000000000003" customHeight="1" x14ac:dyDescent="0.3">
      <c r="B34" s="272"/>
      <c r="C34" s="51">
        <v>0.3125</v>
      </c>
      <c r="D34" s="51" t="str">
        <f t="shared" si="1"/>
        <v>s/d</v>
      </c>
      <c r="E34" s="51">
        <f t="shared" si="3"/>
        <v>0.41666666666666669</v>
      </c>
      <c r="F34" s="101" t="s">
        <v>400</v>
      </c>
      <c r="G34" s="115" t="s">
        <v>394</v>
      </c>
      <c r="H34" s="52" t="str">
        <f>IF(F34="","",VLOOKUP(F34,'SELECT KELAS GASAL'!C$8:N$181,2,FALSE))</f>
        <v>INF­55201­540</v>
      </c>
      <c r="I34" s="98" t="str">
        <f>IF(F34="","",VLOOKUP(F34,'SELECT KELAS GASAL'!C$8:N$181,3,FALSE))</f>
        <v>Kriptografi</v>
      </c>
      <c r="J34" s="52" t="str">
        <f>IF(F34="","",VLOOKUP(F34,'SELECT KELAS GASAL'!C$8:N$181,12,FALSE))</f>
        <v>HLN / AAJ</v>
      </c>
      <c r="K34" s="52" t="str">
        <f>IF(F34="","",VLOOKUP(F34,'SELECT KELAS GASAL'!C$8:N$181,8,FALSE))</f>
        <v>HLN</v>
      </c>
      <c r="L34" s="52" t="str">
        <f>IF(F34="","",VLOOKUP(F34,'SELECT KELAS GASAL'!C$8:N$181,10,FALSE))</f>
        <v>AAJ</v>
      </c>
      <c r="M34" s="52" t="str">
        <f>IF(F34="","",VLOOKUP(F34,'SELECT KELAS GASAL'!C$8:N$181,6,FALSE))</f>
        <v>A</v>
      </c>
      <c r="N34" s="52">
        <f>IF(F34="","",VLOOKUP(F34,'SELECT KELAS GASAL'!C$8:N$181,4,FALSE))</f>
        <v>7</v>
      </c>
      <c r="O34" s="52">
        <f>IF(F34="","",VLOOKUP(F34,'SELECT KELAS GASAL'!C$8:N$181,5,FALSE))</f>
        <v>3</v>
      </c>
      <c r="P34" s="52">
        <f>IF(F34="","",VLOOKUP(F34,'SELECT KELAS GASAL'!C$8:X$181,22,FALSE))</f>
        <v>20</v>
      </c>
      <c r="Q34" s="98" t="str">
        <f>IF(F34="","",VLOOKUP(F34,'SELECT KELAS GASAL'!C$8:N$181,11,FALSE))</f>
        <v>Helfi Nasution, S.Kom, M.Cs / Alfian Abdul Jalid, S.Kom., M.Cs.</v>
      </c>
      <c r="R34" s="52" t="s">
        <v>173</v>
      </c>
    </row>
    <row r="35" spans="2:18" ht="34.950000000000003" customHeight="1" x14ac:dyDescent="0.3">
      <c r="B35" s="272"/>
      <c r="C35" s="51">
        <v>0.3125</v>
      </c>
      <c r="D35" s="51" t="str">
        <f t="shared" si="1"/>
        <v>s/d</v>
      </c>
      <c r="E35" s="51">
        <f t="shared" si="3"/>
        <v>0.41666666666666669</v>
      </c>
      <c r="F35" s="101" t="s">
        <v>387</v>
      </c>
      <c r="G35" s="115"/>
      <c r="H35" s="52" t="str">
        <f>IF(F35="","",VLOOKUP(F35,'SELECT KELAS GASAL'!C$8:N$181,2,FALSE))</f>
        <v>INF-55201-401</v>
      </c>
      <c r="I35" s="98" t="str">
        <f>IF(F35="","",VLOOKUP(F35,'SELECT KELAS GASAL'!C$8:N$181,3,FALSE))</f>
        <v>Teknopreneur*</v>
      </c>
      <c r="J35" s="52" t="str">
        <f>IF(F35="","",VLOOKUP(F35,'SELECT KELAS GASAL'!C$8:N$181,12,FALSE))</f>
        <v>RDN</v>
      </c>
      <c r="K35" s="52" t="str">
        <f>IF(F35="","",VLOOKUP(F35,'SELECT KELAS GASAL'!C$8:N$181,8,FALSE))</f>
        <v>RDN</v>
      </c>
      <c r="L35" s="52" t="str">
        <f>IF(F35="","",VLOOKUP(F35,'SELECT KELAS GASAL'!C$8:N$181,10,FALSE))</f>
        <v>-</v>
      </c>
      <c r="M35" s="52" t="str">
        <f>IF(F35="","",VLOOKUP(F35,'SELECT KELAS GASAL'!C$8:N$181,6,FALSE))</f>
        <v>B</v>
      </c>
      <c r="N35" s="52">
        <f>IF(F35="","",VLOOKUP(F35,'SELECT KELAS GASAL'!C$8:N$181,4,FALSE))</f>
        <v>7</v>
      </c>
      <c r="O35" s="52">
        <f>IF(F35="","",VLOOKUP(F35,'SELECT KELAS GASAL'!C$8:N$181,5,FALSE))</f>
        <v>3</v>
      </c>
      <c r="P35" s="52">
        <f>IF(F35="","",VLOOKUP(F35,'SELECT KELAS GASAL'!C$8:X$181,22,FALSE))</f>
        <v>20</v>
      </c>
      <c r="Q35" s="98" t="str">
        <f>IF(F35="","",VLOOKUP(F35,'SELECT KELAS GASAL'!C$8:N$181,11,FALSE))</f>
        <v>Rudy Dwi Nyoto, S.T., M.Eng</v>
      </c>
      <c r="R35" s="52" t="s">
        <v>173</v>
      </c>
    </row>
    <row r="36" spans="2:18" ht="34.950000000000003" customHeight="1" x14ac:dyDescent="0.3">
      <c r="B36" s="272"/>
      <c r="C36" s="51"/>
      <c r="D36" s="51" t="str">
        <f t="shared" si="1"/>
        <v/>
      </c>
      <c r="E36" s="51" t="str">
        <f t="shared" si="3"/>
        <v/>
      </c>
      <c r="F36" s="101"/>
      <c r="G36" s="115" t="s">
        <v>394</v>
      </c>
      <c r="H36" s="52" t="str">
        <f>IF(F36="","",VLOOKUP(F36,'SELECT KELAS GASAL'!C$8:N$181,2,FALSE))</f>
        <v/>
      </c>
      <c r="I36" s="98" t="str">
        <f>IF(F36="","",VLOOKUP(F36,'SELECT KELAS GASAL'!C$8:N$181,3,FALSE))</f>
        <v/>
      </c>
      <c r="J36" s="52" t="str">
        <f>IF(F36="","",VLOOKUP(F36,'SELECT KELAS GASAL'!C$8:N$181,12,FALSE))</f>
        <v/>
      </c>
      <c r="K36" s="52" t="str">
        <f>IF(F36="","",VLOOKUP(F36,'SELECT KELAS GASAL'!C$8:N$181,8,FALSE))</f>
        <v/>
      </c>
      <c r="L36" s="52" t="str">
        <f>IF(F36="","",VLOOKUP(F36,'SELECT KELAS GASAL'!C$8:N$181,10,FALSE))</f>
        <v/>
      </c>
      <c r="M36" s="52" t="str">
        <f>IF(F36="","",VLOOKUP(F36,'SELECT KELAS GASAL'!C$8:N$181,6,FALSE))</f>
        <v/>
      </c>
      <c r="N36" s="52" t="str">
        <f>IF(F36="","",VLOOKUP(F36,'SELECT KELAS GASAL'!C$8:N$181,4,FALSE))</f>
        <v/>
      </c>
      <c r="O36" s="52" t="str">
        <f>IF(F36="","",VLOOKUP(F36,'SELECT KELAS GASAL'!C$8:N$181,5,FALSE))</f>
        <v/>
      </c>
      <c r="P36" s="52" t="str">
        <f>IF(F36="","",VLOOKUP(F36,'SELECT KELAS GASAL'!C$8:X$181,22,FALSE))</f>
        <v/>
      </c>
      <c r="Q36" s="98" t="str">
        <f>IF(F36="","",VLOOKUP(F36,'SELECT KELAS GASAL'!C$8:N$181,11,FALSE))</f>
        <v/>
      </c>
      <c r="R36" s="52"/>
    </row>
    <row r="37" spans="2:18" ht="34.950000000000003" customHeight="1" x14ac:dyDescent="0.3">
      <c r="B37" s="272"/>
      <c r="C37" s="51">
        <v>0.4236111111111111</v>
      </c>
      <c r="D37" s="51" t="str">
        <f t="shared" si="1"/>
        <v>s/d</v>
      </c>
      <c r="E37" s="51">
        <f t="shared" si="3"/>
        <v>0.49305555555555558</v>
      </c>
      <c r="F37" s="101" t="s">
        <v>355</v>
      </c>
      <c r="G37" s="115" t="s">
        <v>394</v>
      </c>
      <c r="H37" s="52" t="str">
        <f>IF(F37="","",VLOOKUP(F37,'SELECT KELAS GASAL'!C$8:N$181,2,FALSE))</f>
        <v>UMG-55201-101</v>
      </c>
      <c r="I37" s="98" t="str">
        <f>IF(F37="","",VLOOKUP(F37,'SELECT KELAS GASAL'!C$8:N$181,3,FALSE))</f>
        <v>Pendidikan Pancasila</v>
      </c>
      <c r="J37" s="52" t="str">
        <f>IF(F37="","",VLOOKUP(F37,'SELECT KELAS GASAL'!C$8:N$181,12,FALSE))</f>
        <v>MKU</v>
      </c>
      <c r="K37" s="52" t="str">
        <f>IF(F37="","",VLOOKUP(F37,'SELECT KELAS GASAL'!C$8:N$181,8,FALSE))</f>
        <v>MKU</v>
      </c>
      <c r="L37" s="52" t="str">
        <f>IF(F37="","",VLOOKUP(F37,'SELECT KELAS GASAL'!C$8:N$181,10,FALSE))</f>
        <v>-</v>
      </c>
      <c r="M37" s="52" t="str">
        <f>IF(F37="","",VLOOKUP(F37,'SELECT KELAS GASAL'!C$8:N$181,6,FALSE))</f>
        <v>A</v>
      </c>
      <c r="N37" s="52">
        <f>IF(F37="","",VLOOKUP(F37,'SELECT KELAS GASAL'!C$8:N$181,4,FALSE))</f>
        <v>1</v>
      </c>
      <c r="O37" s="52">
        <f>IF(F37="","",VLOOKUP(F37,'SELECT KELAS GASAL'!C$8:N$181,5,FALSE))</f>
        <v>2</v>
      </c>
      <c r="P37" s="52">
        <f>IF(F37="","",VLOOKUP(F37,'SELECT KELAS GASAL'!C$8:X$181,22,FALSE))</f>
        <v>35</v>
      </c>
      <c r="Q37" s="98" t="str">
        <f>IF(F37="","",VLOOKUP(F37,'SELECT KELAS GASAL'!C$8:N$181,11,FALSE))</f>
        <v>MKU</v>
      </c>
      <c r="R37" s="52" t="s">
        <v>173</v>
      </c>
    </row>
    <row r="38" spans="2:18" ht="34.950000000000003" customHeight="1" x14ac:dyDescent="0.3">
      <c r="B38" s="272"/>
      <c r="C38" s="51">
        <v>0.4236111111111111</v>
      </c>
      <c r="D38" s="51" t="str">
        <f t="shared" si="1"/>
        <v>s/d</v>
      </c>
      <c r="E38" s="51">
        <f t="shared" si="3"/>
        <v>0.49305555555555558</v>
      </c>
      <c r="F38" s="101" t="s">
        <v>362</v>
      </c>
      <c r="G38" s="115" t="s">
        <v>394</v>
      </c>
      <c r="H38" s="52" t="str">
        <f>IF(F38="","",VLOOKUP(F38,'SELECT KELAS GASAL'!C$8:N$181,2,FALSE))</f>
        <v>INF-55201-104</v>
      </c>
      <c r="I38" s="98" t="str">
        <f>IF(F38="","",VLOOKUP(F38,'SELECT KELAS GASAL'!C$8:N$181,3,FALSE))</f>
        <v>Pengantar Teknik Informatika</v>
      </c>
      <c r="J38" s="52" t="str">
        <f>IF(F38="","",VLOOKUP(F38,'SELECT KELAS GASAL'!C$8:N$181,12,FALSE))</f>
        <v>HA</v>
      </c>
      <c r="K38" s="52" t="str">
        <f>IF(F38="","",VLOOKUP(F38,'SELECT KELAS GASAL'!C$8:N$181,8,FALSE))</f>
        <v>HA</v>
      </c>
      <c r="L38" s="52" t="str">
        <f>IF(F38="","",VLOOKUP(F38,'SELECT KELAS GASAL'!C$8:N$181,10,FALSE))</f>
        <v>-</v>
      </c>
      <c r="M38" s="52" t="str">
        <f>IF(F38="","",VLOOKUP(F38,'SELECT KELAS GASAL'!C$8:N$181,6,FALSE))</f>
        <v>B</v>
      </c>
      <c r="N38" s="52">
        <f>IF(F38="","",VLOOKUP(F38,'SELECT KELAS GASAL'!C$8:N$181,4,FALSE))</f>
        <v>1</v>
      </c>
      <c r="O38" s="52">
        <f>IF(F38="","",VLOOKUP(F38,'SELECT KELAS GASAL'!C$8:N$181,5,FALSE))</f>
        <v>2</v>
      </c>
      <c r="P38" s="52">
        <f>IF(F38="","",VLOOKUP(F38,'SELECT KELAS GASAL'!C$8:X$181,22,FALSE))</f>
        <v>35</v>
      </c>
      <c r="Q38" s="98" t="str">
        <f>IF(F38="","",VLOOKUP(F38,'SELECT KELAS GASAL'!C$8:N$181,11,FALSE))</f>
        <v>H. Hengky Anra, S.T., M.Kom</v>
      </c>
      <c r="R38" s="52" t="s">
        <v>173</v>
      </c>
    </row>
    <row r="39" spans="2:18" ht="34.950000000000003" customHeight="1" x14ac:dyDescent="0.3">
      <c r="B39" s="272"/>
      <c r="C39" s="51">
        <v>0.4236111111111111</v>
      </c>
      <c r="D39" s="51" t="str">
        <f t="shared" si="1"/>
        <v>s/d</v>
      </c>
      <c r="E39" s="51">
        <f t="shared" si="3"/>
        <v>0.49305555555555558</v>
      </c>
      <c r="F39" s="101" t="s">
        <v>354</v>
      </c>
      <c r="G39" s="115" t="s">
        <v>394</v>
      </c>
      <c r="H39" s="52" t="str">
        <f>IF(F39="","",VLOOKUP(F39,'SELECT KELAS GASAL'!C$8:N$181,2,FALSE))</f>
        <v>INF-55201-205</v>
      </c>
      <c r="I39" s="98" t="str">
        <f>IF(F39="","",VLOOKUP(F39,'SELECT KELAS GASAL'!C$8:N$181,3,FALSE))</f>
        <v>Jaringan  Komputer *</v>
      </c>
      <c r="J39" s="52" t="str">
        <f>IF(F39="","",VLOOKUP(F39,'SELECT KELAS GASAL'!C$8:N$181,12,FALSE))</f>
        <v>AI / HN</v>
      </c>
      <c r="K39" s="52" t="str">
        <f>IF(F39="","",VLOOKUP(F39,'SELECT KELAS GASAL'!C$8:N$181,8,FALSE))</f>
        <v>AI</v>
      </c>
      <c r="L39" s="52" t="str">
        <f>IF(F39="","",VLOOKUP(F39,'SELECT KELAS GASAL'!C$8:N$181,10,FALSE))</f>
        <v>HN</v>
      </c>
      <c r="M39" s="52" t="str">
        <f>IF(F39="","",VLOOKUP(F39,'SELECT KELAS GASAL'!C$8:N$181,6,FALSE))</f>
        <v>C</v>
      </c>
      <c r="N39" s="52">
        <f>IF(F39="","",VLOOKUP(F39,'SELECT KELAS GASAL'!C$8:N$181,4,FALSE))</f>
        <v>3</v>
      </c>
      <c r="O39" s="52">
        <f>IF(F39="","",VLOOKUP(F39,'SELECT KELAS GASAL'!C$8:N$181,5,FALSE))</f>
        <v>4</v>
      </c>
      <c r="P39" s="52">
        <f>IF(F39="","",VLOOKUP(F39,'SELECT KELAS GASAL'!C$8:X$181,22,FALSE))</f>
        <v>25</v>
      </c>
      <c r="Q39" s="98" t="str">
        <f>IF(F39="","",VLOOKUP(F39,'SELECT KELAS GASAL'!C$8:N$181,11,FALSE))</f>
        <v>M.Azhar Irwansyah, S.T.,M.Eng. / Haried Novriando, S.Kom, M.Eng</v>
      </c>
      <c r="R39" s="52" t="s">
        <v>173</v>
      </c>
    </row>
    <row r="40" spans="2:18" ht="34.950000000000003" customHeight="1" x14ac:dyDescent="0.3">
      <c r="B40" s="272"/>
      <c r="C40" s="51">
        <v>0.4236111111111111</v>
      </c>
      <c r="D40" s="51" t="str">
        <f t="shared" si="1"/>
        <v>s/d</v>
      </c>
      <c r="E40" s="51">
        <f t="shared" si="3"/>
        <v>0.49305555555555558</v>
      </c>
      <c r="F40" s="101" t="s">
        <v>324</v>
      </c>
      <c r="G40" s="115" t="s">
        <v>394</v>
      </c>
      <c r="H40" s="52" t="str">
        <f>IF(F40="","",VLOOKUP(F40,'SELECT KELAS GASAL'!C$8:N$181,2,FALSE))</f>
        <v>INF-55201-310</v>
      </c>
      <c r="I40" s="98" t="str">
        <f>IF(F40="","",VLOOKUP(F40,'SELECT KELAS GASAL'!C$8:N$181,3,FALSE))</f>
        <v>Penulisan Proposal  Tugas  Akhir  </v>
      </c>
      <c r="J40" s="52" t="str">
        <f>IF(F40="","",VLOOKUP(F40,'SELECT KELAS GASAL'!C$8:N$181,12,FALSE))</f>
        <v>EFR</v>
      </c>
      <c r="K40" s="52" t="str">
        <f>IF(F40="","",VLOOKUP(F40,'SELECT KELAS GASAL'!C$8:N$181,8,FALSE))</f>
        <v>EFR</v>
      </c>
      <c r="L40" s="52" t="str">
        <f>IF(F40="","",VLOOKUP(F40,'SELECT KELAS GASAL'!C$8:N$181,10,FALSE))</f>
        <v>-</v>
      </c>
      <c r="M40" s="52" t="str">
        <f>IF(F40="","",VLOOKUP(F40,'SELECT KELAS GASAL'!C$8:N$181,6,FALSE))</f>
        <v>A</v>
      </c>
      <c r="N40" s="52">
        <f>IF(F40="","",VLOOKUP(F40,'SELECT KELAS GASAL'!C$8:N$181,4,FALSE))</f>
        <v>5</v>
      </c>
      <c r="O40" s="52">
        <f>IF(F40="","",VLOOKUP(F40,'SELECT KELAS GASAL'!C$8:N$181,5,FALSE))</f>
        <v>2</v>
      </c>
      <c r="P40" s="52">
        <f>IF(F40="","",VLOOKUP(F40,'SELECT KELAS GASAL'!C$8:X$181,22,FALSE))</f>
        <v>20</v>
      </c>
      <c r="Q40" s="98" t="str">
        <f>IF(F40="","",VLOOKUP(F40,'SELECT KELAS GASAL'!C$8:N$181,11,FALSE))</f>
        <v>Eva Faja Ripanti, S.Kom, MMSI, Ph.D</v>
      </c>
      <c r="R40" s="52" t="s">
        <v>173</v>
      </c>
    </row>
    <row r="41" spans="2:18" ht="34.950000000000003" customHeight="1" x14ac:dyDescent="0.3">
      <c r="B41" s="272"/>
      <c r="C41" s="51">
        <v>0.4236111111111111</v>
      </c>
      <c r="D41" s="51" t="str">
        <f t="shared" si="1"/>
        <v>s/d</v>
      </c>
      <c r="E41" s="51">
        <f t="shared" si="3"/>
        <v>0.49305555555555558</v>
      </c>
      <c r="F41" s="101" t="s">
        <v>381</v>
      </c>
      <c r="G41" s="115" t="s">
        <v>394</v>
      </c>
      <c r="H41" s="52" t="str">
        <f>IF(F41="","",VLOOKUP(F41,'SELECT KELAS GASAL'!C$8:N$181,2,FALSE))</f>
        <v>INF-55201-306</v>
      </c>
      <c r="I41" s="98" t="str">
        <f>IF(F41="","",VLOOKUP(F41,'SELECT KELAS GASAL'!C$8:N$181,3,FALSE))</f>
        <v>Manajemen  Proyek  Perangkat  Lunak</v>
      </c>
      <c r="J41" s="52" t="str">
        <f>IF(F41="","",VLOOKUP(F41,'SELECT KELAS GASAL'!C$8:N$181,12,FALSE))</f>
        <v>AP / DIU</v>
      </c>
      <c r="K41" s="52" t="str">
        <f>IF(F41="","",VLOOKUP(F41,'SELECT KELAS GASAL'!C$8:N$181,8,FALSE))</f>
        <v>AP</v>
      </c>
      <c r="L41" s="52" t="str">
        <f>IF(F41="","",VLOOKUP(F41,'SELECT KELAS GASAL'!C$8:N$181,10,FALSE))</f>
        <v>DIU</v>
      </c>
      <c r="M41" s="52" t="str">
        <f>IF(F41="","",VLOOKUP(F41,'SELECT KELAS GASAL'!C$8:N$181,6,FALSE))</f>
        <v>B</v>
      </c>
      <c r="N41" s="52">
        <f>IF(F41="","",VLOOKUP(F41,'SELECT KELAS GASAL'!C$8:N$181,4,FALSE))</f>
        <v>5</v>
      </c>
      <c r="O41" s="52">
        <f>IF(F41="","",VLOOKUP(F41,'SELECT KELAS GASAL'!C$8:N$181,5,FALSE))</f>
        <v>2</v>
      </c>
      <c r="P41" s="52">
        <f>IF(F41="","",VLOOKUP(F41,'SELECT KELAS GASAL'!C$8:X$181,22,FALSE))</f>
        <v>20</v>
      </c>
      <c r="Q41" s="98" t="str">
        <f>IF(F41="","",VLOOKUP(F41,'SELECT KELAS GASAL'!C$8:N$181,11,FALSE))</f>
        <v>Anggi Perwitasari, S.T., M.T. / Desepta Isna Ulumi, S.Kom, M.Kom.</v>
      </c>
      <c r="R41" s="52" t="s">
        <v>173</v>
      </c>
    </row>
    <row r="42" spans="2:18" ht="34.950000000000003" customHeight="1" x14ac:dyDescent="0.3">
      <c r="B42" s="272"/>
      <c r="C42" s="51"/>
      <c r="D42" s="51" t="str">
        <f t="shared" si="1"/>
        <v/>
      </c>
      <c r="E42" s="51" t="str">
        <f t="shared" si="3"/>
        <v/>
      </c>
      <c r="F42" s="101"/>
      <c r="G42" s="115" t="s">
        <v>394</v>
      </c>
      <c r="H42" s="52" t="str">
        <f>IF(F42="","",VLOOKUP(F42,'SELECT KELAS GASAL'!C$8:N$181,2,FALSE))</f>
        <v/>
      </c>
      <c r="I42" s="98" t="str">
        <f>IF(F42="","",VLOOKUP(F42,'SELECT KELAS GASAL'!C$8:N$181,3,FALSE))</f>
        <v/>
      </c>
      <c r="J42" s="52" t="str">
        <f>IF(F42="","",VLOOKUP(F42,'SELECT KELAS GASAL'!C$8:N$181,12,FALSE))</f>
        <v/>
      </c>
      <c r="K42" s="52" t="str">
        <f>IF(F42="","",VLOOKUP(F42,'SELECT KELAS GASAL'!C$8:N$181,8,FALSE))</f>
        <v/>
      </c>
      <c r="L42" s="52" t="str">
        <f>IF(F42="","",VLOOKUP(F42,'SELECT KELAS GASAL'!C$8:N$181,10,FALSE))</f>
        <v/>
      </c>
      <c r="M42" s="52" t="str">
        <f>IF(F42="","",VLOOKUP(F42,'SELECT KELAS GASAL'!C$8:N$181,6,FALSE))</f>
        <v/>
      </c>
      <c r="N42" s="52" t="str">
        <f>IF(F42="","",VLOOKUP(F42,'SELECT KELAS GASAL'!C$8:N$181,4,FALSE))</f>
        <v/>
      </c>
      <c r="O42" s="52" t="str">
        <f>IF(F42="","",VLOOKUP(F42,'SELECT KELAS GASAL'!C$8:N$181,5,FALSE))</f>
        <v/>
      </c>
      <c r="P42" s="52" t="str">
        <f>IF(F42="","",VLOOKUP(F42,'SELECT KELAS GASAL'!C$8:X$181,22,FALSE))</f>
        <v/>
      </c>
      <c r="Q42" s="98" t="str">
        <f>IF(F42="","",VLOOKUP(F42,'SELECT KELAS GASAL'!C$8:N$181,11,FALSE))</f>
        <v/>
      </c>
      <c r="R42" s="53"/>
    </row>
    <row r="43" spans="2:18" ht="34.950000000000003" customHeight="1" x14ac:dyDescent="0.3">
      <c r="B43" s="272"/>
      <c r="C43" s="51">
        <v>0.53125</v>
      </c>
      <c r="D43" s="51" t="str">
        <f t="shared" si="1"/>
        <v>s/d</v>
      </c>
      <c r="E43" s="51">
        <f t="shared" si="3"/>
        <v>0.60069444444444442</v>
      </c>
      <c r="F43" s="101" t="s">
        <v>384</v>
      </c>
      <c r="G43" s="115" t="s">
        <v>394</v>
      </c>
      <c r="H43" s="52" t="str">
        <f>IF(F43="","",VLOOKUP(F43,'SELECT KELAS GASAL'!C$8:N$181,2,FALSE))</f>
        <v>INF-55201-104</v>
      </c>
      <c r="I43" s="98" t="str">
        <f>IF(F43="","",VLOOKUP(F43,'SELECT KELAS GASAL'!C$8:N$181,3,FALSE))</f>
        <v>Pengantar Teknik Informatika</v>
      </c>
      <c r="J43" s="52" t="str">
        <f>IF(F43="","",VLOOKUP(F43,'SELECT KELAS GASAL'!C$8:N$181,12,FALSE))</f>
        <v>HA</v>
      </c>
      <c r="K43" s="52" t="str">
        <f>IF(F43="","",VLOOKUP(F43,'SELECT KELAS GASAL'!C$8:N$181,8,FALSE))</f>
        <v>HA</v>
      </c>
      <c r="L43" s="52" t="str">
        <f>IF(F43="","",VLOOKUP(F43,'SELECT KELAS GASAL'!C$8:N$181,10,FALSE))</f>
        <v>-</v>
      </c>
      <c r="M43" s="52" t="str">
        <f>IF(F43="","",VLOOKUP(F43,'SELECT KELAS GASAL'!C$8:N$181,6,FALSE))</f>
        <v>A</v>
      </c>
      <c r="N43" s="52">
        <f>IF(F43="","",VLOOKUP(F43,'SELECT KELAS GASAL'!C$8:N$181,4,FALSE))</f>
        <v>1</v>
      </c>
      <c r="O43" s="52">
        <f>IF(F43="","",VLOOKUP(F43,'SELECT KELAS GASAL'!C$8:N$181,5,FALSE))</f>
        <v>2</v>
      </c>
      <c r="P43" s="52">
        <f>IF(F43="","",VLOOKUP(F43,'SELECT KELAS GASAL'!C$8:X$181,22,FALSE))</f>
        <v>35</v>
      </c>
      <c r="Q43" s="98" t="str">
        <f>IF(F43="","",VLOOKUP(F43,'SELECT KELAS GASAL'!C$8:N$181,11,FALSE))</f>
        <v>H. Hengky Anra, S.T., M.Kom</v>
      </c>
      <c r="R43" s="52" t="s">
        <v>173</v>
      </c>
    </row>
    <row r="44" spans="2:18" ht="34.950000000000003" customHeight="1" x14ac:dyDescent="0.3">
      <c r="B44" s="272"/>
      <c r="C44" s="51">
        <v>0.53125</v>
      </c>
      <c r="D44" s="51" t="str">
        <f t="shared" si="1"/>
        <v>s/d</v>
      </c>
      <c r="E44" s="51">
        <f t="shared" si="3"/>
        <v>0.60069444444444442</v>
      </c>
      <c r="F44" s="101" t="s">
        <v>405</v>
      </c>
      <c r="G44" s="115" t="s">
        <v>394</v>
      </c>
      <c r="H44" s="52" t="str">
        <f>IF(F44="","",VLOOKUP(F44,'SELECT KELAS GASAL'!C$8:N$181,2,FALSE))</f>
        <v>INF-55201-206</v>
      </c>
      <c r="I44" s="98" t="str">
        <f>IF(F44="","",VLOOKUP(F44,'SELECT KELAS GASAL'!C$8:N$181,3,FALSE))</f>
        <v>Strategi Algoritma*</v>
      </c>
      <c r="J44" s="52" t="str">
        <f>IF(F44="","",VLOOKUP(F44,'SELECT KELAS GASAL'!C$8:N$181,12,FALSE))</f>
        <v>TZ / FA</v>
      </c>
      <c r="K44" s="52" t="str">
        <f>IF(F44="","",VLOOKUP(F44,'SELECT KELAS GASAL'!C$8:N$181,8,FALSE))</f>
        <v>TZ</v>
      </c>
      <c r="L44" s="52" t="str">
        <f>IF(F44="","",VLOOKUP(F44,'SELECT KELAS GASAL'!C$8:N$181,10,FALSE))</f>
        <v>FA</v>
      </c>
      <c r="M44" s="52" t="str">
        <f>IF(F44="","",VLOOKUP(F44,'SELECT KELAS GASAL'!C$8:N$181,6,FALSE))</f>
        <v>B</v>
      </c>
      <c r="N44" s="52">
        <f>IF(F44="","",VLOOKUP(F44,'SELECT KELAS GASAL'!C$8:N$181,4,FALSE))</f>
        <v>3</v>
      </c>
      <c r="O44" s="52">
        <f>IF(F44="","",VLOOKUP(F44,'SELECT KELAS GASAL'!C$8:N$181,5,FALSE))</f>
        <v>4</v>
      </c>
      <c r="P44" s="52">
        <f>IF(F44="","",VLOOKUP(F44,'SELECT KELAS GASAL'!C$8:X$181,22,FALSE))</f>
        <v>25</v>
      </c>
      <c r="Q44" s="98" t="str">
        <f>IF(F44="","",VLOOKUP(F44,'SELECT KELAS GASAL'!C$8:N$181,11,FALSE))</f>
        <v>Morteza Muthahhari, S.Kom., M.T.I / Fauzan Asrin, S.Kom, M. Kom.</v>
      </c>
      <c r="R44" s="52" t="s">
        <v>173</v>
      </c>
    </row>
    <row r="45" spans="2:18" ht="34.950000000000003" customHeight="1" x14ac:dyDescent="0.3">
      <c r="B45" s="272"/>
      <c r="C45" s="51">
        <v>0.53125</v>
      </c>
      <c r="D45" s="51" t="str">
        <f t="shared" si="1"/>
        <v>s/d</v>
      </c>
      <c r="E45" s="51">
        <f t="shared" si="3"/>
        <v>0.60069444444444442</v>
      </c>
      <c r="F45" s="101" t="s">
        <v>354</v>
      </c>
      <c r="G45" s="115" t="s">
        <v>394</v>
      </c>
      <c r="H45" s="52" t="str">
        <f>IF(F45="","",VLOOKUP(F45,'SELECT KELAS GASAL'!C$8:N$181,2,FALSE))</f>
        <v>INF-55201-205</v>
      </c>
      <c r="I45" s="98" t="str">
        <f>IF(F45="","",VLOOKUP(F45,'SELECT KELAS GASAL'!C$8:N$181,3,FALSE))</f>
        <v>Jaringan  Komputer *</v>
      </c>
      <c r="J45" s="52" t="str">
        <f>IF(F45="","",VLOOKUP(F45,'SELECT KELAS GASAL'!C$8:N$181,12,FALSE))</f>
        <v>AI / HN</v>
      </c>
      <c r="K45" s="52" t="str">
        <f>IF(F45="","",VLOOKUP(F45,'SELECT KELAS GASAL'!C$8:N$181,8,FALSE))</f>
        <v>AI</v>
      </c>
      <c r="L45" s="52" t="str">
        <f>IF(F45="","",VLOOKUP(F45,'SELECT KELAS GASAL'!C$8:N$181,10,FALSE))</f>
        <v>HN</v>
      </c>
      <c r="M45" s="52" t="str">
        <f>IF(F45="","",VLOOKUP(F45,'SELECT KELAS GASAL'!C$8:N$181,6,FALSE))</f>
        <v>C</v>
      </c>
      <c r="N45" s="52">
        <f>IF(F45="","",VLOOKUP(F45,'SELECT KELAS GASAL'!C$8:N$181,4,FALSE))</f>
        <v>3</v>
      </c>
      <c r="O45" s="52">
        <f>IF(F45="","",VLOOKUP(F45,'SELECT KELAS GASAL'!C$8:N$181,5,FALSE))</f>
        <v>4</v>
      </c>
      <c r="P45" s="52">
        <f>IF(F45="","",VLOOKUP(F45,'SELECT KELAS GASAL'!C$8:X$181,22,FALSE))</f>
        <v>25</v>
      </c>
      <c r="Q45" s="98" t="str">
        <f>IF(F45="","",VLOOKUP(F45,'SELECT KELAS GASAL'!C$8:N$181,11,FALSE))</f>
        <v>M.Azhar Irwansyah, S.T.,M.Eng. / Haried Novriando, S.Kom, M.Eng</v>
      </c>
      <c r="R45" s="52" t="s">
        <v>173</v>
      </c>
    </row>
    <row r="46" spans="2:18" ht="34.950000000000003" customHeight="1" x14ac:dyDescent="0.3">
      <c r="B46" s="272"/>
      <c r="C46" s="51">
        <v>0.53125</v>
      </c>
      <c r="D46" s="51" t="str">
        <f t="shared" si="1"/>
        <v>s/d</v>
      </c>
      <c r="E46" s="51">
        <f t="shared" si="3"/>
        <v>0.60069444444444442</v>
      </c>
      <c r="F46" s="101" t="s">
        <v>350</v>
      </c>
      <c r="G46" s="115" t="s">
        <v>394</v>
      </c>
      <c r="H46" s="52" t="str">
        <f>IF(F46="","",VLOOKUP(F46,'SELECT KELAS GASAL'!C$8:N$181,2,FALSE))</f>
        <v>INF-55201-306</v>
      </c>
      <c r="I46" s="98" t="str">
        <f>IF(F46="","",VLOOKUP(F46,'SELECT KELAS GASAL'!C$8:N$181,3,FALSE))</f>
        <v>Manajemen  Proyek  Perangkat  Lunak</v>
      </c>
      <c r="J46" s="52" t="str">
        <f>IF(F46="","",VLOOKUP(F46,'SELECT KELAS GASAL'!C$8:N$181,12,FALSE))</f>
        <v>AP / DIU</v>
      </c>
      <c r="K46" s="52" t="str">
        <f>IF(F46="","",VLOOKUP(F46,'SELECT KELAS GASAL'!C$8:N$181,8,FALSE))</f>
        <v>AP</v>
      </c>
      <c r="L46" s="52" t="str">
        <f>IF(F46="","",VLOOKUP(F46,'SELECT KELAS GASAL'!C$8:N$181,10,FALSE))</f>
        <v>DIU</v>
      </c>
      <c r="M46" s="52" t="str">
        <f>IF(F46="","",VLOOKUP(F46,'SELECT KELAS GASAL'!C$8:N$181,6,FALSE))</f>
        <v>A</v>
      </c>
      <c r="N46" s="52">
        <f>IF(F46="","",VLOOKUP(F46,'SELECT KELAS GASAL'!C$8:N$181,4,FALSE))</f>
        <v>5</v>
      </c>
      <c r="O46" s="52">
        <f>IF(F46="","",VLOOKUP(F46,'SELECT KELAS GASAL'!C$8:N$181,5,FALSE))</f>
        <v>2</v>
      </c>
      <c r="P46" s="52">
        <f>IF(F46="","",VLOOKUP(F46,'SELECT KELAS GASAL'!C$8:X$181,22,FALSE))</f>
        <v>20</v>
      </c>
      <c r="Q46" s="98" t="str">
        <f>IF(F46="","",VLOOKUP(F46,'SELECT KELAS GASAL'!C$8:N$181,11,FALSE))</f>
        <v>Anggi Perwitasari, S.T., M.T. / Desepta Isna Ulumi, S.Kom, M.Kom.</v>
      </c>
      <c r="R46" s="52" t="s">
        <v>173</v>
      </c>
    </row>
    <row r="47" spans="2:18" ht="34.950000000000003" customHeight="1" x14ac:dyDescent="0.3">
      <c r="B47" s="272"/>
      <c r="C47" s="51">
        <v>0.53125</v>
      </c>
      <c r="D47" s="51" t="str">
        <f t="shared" si="1"/>
        <v>s/d</v>
      </c>
      <c r="E47" s="51">
        <f t="shared" si="3"/>
        <v>0.60069444444444442</v>
      </c>
      <c r="F47" s="101" t="s">
        <v>372</v>
      </c>
      <c r="G47" s="115"/>
      <c r="H47" s="52" t="str">
        <f>IF(F47="","",VLOOKUP(F47,'SELECT KELAS GASAL'!C$8:N$181,2,FALSE))</f>
        <v>INF-55201-311</v>
      </c>
      <c r="I47" s="98" t="str">
        <f>IF(F47="","",VLOOKUP(F47,'SELECT KELAS GASAL'!C$8:N$181,3,FALSE))</f>
        <v>Riset Operasi</v>
      </c>
      <c r="J47" s="52" t="str">
        <f>IF(F47="","",VLOOKUP(F47,'SELECT KELAS GASAL'!C$8:N$181,12,FALSE))</f>
        <v>EFR / KH</v>
      </c>
      <c r="K47" s="52" t="str">
        <f>IF(F47="","",VLOOKUP(F47,'SELECT KELAS GASAL'!C$8:N$181,8,FALSE))</f>
        <v>EFR</v>
      </c>
      <c r="L47" s="52" t="str">
        <f>IF(F47="","",VLOOKUP(F47,'SELECT KELAS GASAL'!C$8:N$181,10,FALSE))</f>
        <v>KH</v>
      </c>
      <c r="M47" s="52" t="str">
        <f>IF(F47="","",VLOOKUP(F47,'SELECT KELAS GASAL'!C$8:N$181,6,FALSE))</f>
        <v>C</v>
      </c>
      <c r="N47" s="52">
        <f>IF(F47="","",VLOOKUP(F47,'SELECT KELAS GASAL'!C$8:N$181,4,FALSE))</f>
        <v>5</v>
      </c>
      <c r="O47" s="52">
        <f>IF(F47="","",VLOOKUP(F47,'SELECT KELAS GASAL'!C$8:N$181,5,FALSE))</f>
        <v>2</v>
      </c>
      <c r="P47" s="52">
        <f>IF(F47="","",VLOOKUP(F47,'SELECT KELAS GASAL'!C$8:X$181,22,FALSE))</f>
        <v>20</v>
      </c>
      <c r="Q47" s="98" t="str">
        <f>IF(F47="","",VLOOKUP(F47,'SELECT KELAS GASAL'!C$8:N$181,11,FALSE))</f>
        <v>Eva Faja Ripanti, S.Kom, MMSI, Ph.D / Khairul Hafidh, S.T., M.Kom.</v>
      </c>
      <c r="R47" s="52" t="s">
        <v>173</v>
      </c>
    </row>
    <row r="48" spans="2:18" ht="34.950000000000003" customHeight="1" x14ac:dyDescent="0.3">
      <c r="B48" s="272"/>
      <c r="C48" s="51"/>
      <c r="D48" s="51" t="str">
        <f t="shared" si="1"/>
        <v/>
      </c>
      <c r="E48" s="51"/>
      <c r="F48" s="101"/>
      <c r="G48" s="115" t="s">
        <v>394</v>
      </c>
      <c r="H48" s="52"/>
      <c r="I48" s="98"/>
      <c r="J48" s="52"/>
      <c r="K48" s="52" t="str">
        <f>IF(F48="","",VLOOKUP(F48,'SELECT KELAS GASAL'!C$8:N$181,8,FALSE))</f>
        <v/>
      </c>
      <c r="L48" s="52" t="str">
        <f>IF(F48="","",VLOOKUP(F48,'SELECT KELAS GASAL'!C$8:N$181,10,FALSE))</f>
        <v/>
      </c>
      <c r="M48" s="52"/>
      <c r="N48" s="52"/>
      <c r="O48" s="52"/>
      <c r="P48" s="52" t="str">
        <f>IF(F48="","",VLOOKUP(F48,'SELECT KELAS GASAL'!C$8:X$181,22,FALSE))</f>
        <v/>
      </c>
      <c r="Q48" s="98" t="str">
        <f>IF(F48="","",VLOOKUP(F48,'SELECT KELAS GASAL'!C$8:N$181,11,FALSE))</f>
        <v/>
      </c>
      <c r="R48" s="52"/>
    </row>
    <row r="49" spans="2:18" ht="34.950000000000003" customHeight="1" x14ac:dyDescent="0.3">
      <c r="B49" s="272"/>
      <c r="C49" s="51">
        <v>0.60416666666666663</v>
      </c>
      <c r="D49" s="51" t="str">
        <f t="shared" si="1"/>
        <v>s/d</v>
      </c>
      <c r="E49" s="51">
        <f>IF(O49="","",(IF(O49=4,C49+TIME(0,2*50,0),C49+TIME(0,O49*50,0))))</f>
        <v>0.70833333333333326</v>
      </c>
      <c r="F49" s="101" t="s">
        <v>393</v>
      </c>
      <c r="G49" s="115" t="s">
        <v>394</v>
      </c>
      <c r="H49" s="52" t="str">
        <f>IF(F49="","",VLOOKUP(F49,'SELECT KELAS GASAL'!C$8:N$181,2,FALSE))</f>
        <v>INF-55201-102</v>
      </c>
      <c r="I49" s="98" t="str">
        <f>IF(F49="","",VLOOKUP(F49,'SELECT KELAS GASAL'!C$8:N$181,3,FALSE))</f>
        <v>Logika Informatika</v>
      </c>
      <c r="J49" s="52" t="str">
        <f>IF(F49="","",VLOOKUP(F49,'SELECT KELAS GASAL'!C$8:N$181,12,FALSE))</f>
        <v>TR / NC</v>
      </c>
      <c r="K49" s="52" t="str">
        <f>IF(F49="","",VLOOKUP(F49,'SELECT KELAS GASAL'!C$8:N$181,8,FALSE))</f>
        <v>TR</v>
      </c>
      <c r="L49" s="52" t="str">
        <f>IF(F49="","",VLOOKUP(F49,'SELECT KELAS GASAL'!C$8:N$181,10,FALSE))</f>
        <v>NC</v>
      </c>
      <c r="M49" s="52" t="str">
        <f>IF(F49="","",VLOOKUP(F49,'SELECT KELAS GASAL'!C$8:N$181,6,FALSE))</f>
        <v>C</v>
      </c>
      <c r="N49" s="52">
        <f>IF(F49="","",VLOOKUP(F49,'SELECT KELAS GASAL'!C$8:N$181,4,FALSE))</f>
        <v>1</v>
      </c>
      <c r="O49" s="52">
        <f>IF(F49="","",VLOOKUP(F49,'SELECT KELAS GASAL'!C$8:N$181,5,FALSE))</f>
        <v>3</v>
      </c>
      <c r="P49" s="52">
        <f>IF(F49="","",VLOOKUP(F49,'SELECT KELAS GASAL'!C$8:X$181,22,FALSE))</f>
        <v>35</v>
      </c>
      <c r="Q49" s="98" t="str">
        <f>IF(F49="","",VLOOKUP(F49,'SELECT KELAS GASAL'!C$8:N$181,11,FALSE))</f>
        <v>Tursina ST, M.Cs / Niken Candraningrum, S.T., M.Cs.</v>
      </c>
      <c r="R49" s="52" t="s">
        <v>173</v>
      </c>
    </row>
    <row r="50" spans="2:18" ht="34.950000000000003" customHeight="1" x14ac:dyDescent="0.3">
      <c r="B50" s="272"/>
      <c r="C50" s="51">
        <v>0.60416666666666663</v>
      </c>
      <c r="D50" s="51" t="str">
        <f t="shared" si="1"/>
        <v>s/d</v>
      </c>
      <c r="E50" s="51">
        <f>IF(O50="","",(IF(O50=4,C50+TIME(0,2*50,0),C50+TIME(0,O50*50,0))))</f>
        <v>0.70833333333333326</v>
      </c>
      <c r="F50" s="101" t="s">
        <v>356</v>
      </c>
      <c r="G50" s="115" t="s">
        <v>394</v>
      </c>
      <c r="H50" s="52" t="str">
        <f>IF(F50="","",VLOOKUP(F50,'SELECT KELAS GASAL'!C$8:N$181,2,FALSE))</f>
        <v>INF-55201-203</v>
      </c>
      <c r="I50" s="98" t="str">
        <f>IF(F50="","",VLOOKUP(F50,'SELECT KELAS GASAL'!C$8:N$181,3,FALSE))</f>
        <v>Matematika  Diskrit  </v>
      </c>
      <c r="J50" s="52" t="str">
        <f>IF(F50="","",VLOOKUP(F50,'SELECT KELAS GASAL'!C$8:N$181,12,FALSE))</f>
        <v>YL / KH</v>
      </c>
      <c r="K50" s="52" t="str">
        <f>IF(F50="","",VLOOKUP(F50,'SELECT KELAS GASAL'!C$8:N$181,8,FALSE))</f>
        <v>YL</v>
      </c>
      <c r="L50" s="52" t="str">
        <f>IF(F50="","",VLOOKUP(F50,'SELECT KELAS GASAL'!C$8:N$181,10,FALSE))</f>
        <v>KH</v>
      </c>
      <c r="M50" s="52" t="str">
        <f>IF(F50="","",VLOOKUP(F50,'SELECT KELAS GASAL'!C$8:N$181,6,FALSE))</f>
        <v>A</v>
      </c>
      <c r="N50" s="52">
        <f>IF(F50="","",VLOOKUP(F50,'SELECT KELAS GASAL'!C$8:N$181,4,FALSE))</f>
        <v>3</v>
      </c>
      <c r="O50" s="52">
        <f>IF(F50="","",VLOOKUP(F50,'SELECT KELAS GASAL'!C$8:N$181,5,FALSE))</f>
        <v>3</v>
      </c>
      <c r="P50" s="52">
        <f>IF(F50="","",VLOOKUP(F50,'SELECT KELAS GASAL'!C$8:X$181,22,FALSE))</f>
        <v>25</v>
      </c>
      <c r="Q50" s="98" t="str">
        <f>IF(F50="","",VLOOKUP(F50,'SELECT KELAS GASAL'!C$8:N$181,11,FALSE))</f>
        <v>Yulianti,S.Kom, MMSI / Khairul Hafidh, S.T., M.Kom.</v>
      </c>
      <c r="R50" s="52" t="s">
        <v>173</v>
      </c>
    </row>
    <row r="51" spans="2:18" ht="34.950000000000003" customHeight="1" x14ac:dyDescent="0.3">
      <c r="B51" s="272"/>
      <c r="C51" s="51">
        <v>0.60416666666666663</v>
      </c>
      <c r="D51" s="51" t="str">
        <f t="shared" si="1"/>
        <v>s/d</v>
      </c>
      <c r="E51" s="51">
        <f>IF(O51="","",(IF(O51=4,C51+TIME(0,2*50,0),C51+TIME(0,O51*50,0))))</f>
        <v>0.70833333333333326</v>
      </c>
      <c r="F51" s="101" t="s">
        <v>318</v>
      </c>
      <c r="G51" s="115" t="s">
        <v>394</v>
      </c>
      <c r="H51" s="52" t="str">
        <f>IF(F51="","",VLOOKUP(F51,'SELECT KELAS GASAL'!C$8:N$181,2,FALSE))</f>
        <v>INF-55201-303</v>
      </c>
      <c r="I51" s="98" t="str">
        <f>IF(F51="","",VLOOKUP(F51,'SELECT KELAS GASAL'!C$8:N$181,3,FALSE))</f>
        <v>Pemrograman Jaringan *</v>
      </c>
      <c r="J51" s="52" t="str">
        <f>IF(F51="","",VLOOKUP(F51,'SELECT KELAS GASAL'!C$8:N$181,12,FALSE))</f>
        <v>HP</v>
      </c>
      <c r="K51" s="52" t="str">
        <f>IF(F51="","",VLOOKUP(F51,'SELECT KELAS GASAL'!C$8:N$181,8,FALSE))</f>
        <v>HP</v>
      </c>
      <c r="L51" s="52" t="str">
        <f>IF(F51="","",VLOOKUP(F51,'SELECT KELAS GASAL'!C$8:N$181,10,FALSE))</f>
        <v>-</v>
      </c>
      <c r="M51" s="52" t="str">
        <f>IF(F51="","",VLOOKUP(F51,'SELECT KELAS GASAL'!C$8:N$181,6,FALSE))</f>
        <v>B</v>
      </c>
      <c r="N51" s="52">
        <f>IF(F51="","",VLOOKUP(F51,'SELECT KELAS GASAL'!C$8:N$181,4,FALSE))</f>
        <v>5</v>
      </c>
      <c r="O51" s="52">
        <f>IF(F51="","",VLOOKUP(F51,'SELECT KELAS GASAL'!C$8:N$181,5,FALSE))</f>
        <v>3</v>
      </c>
      <c r="P51" s="52">
        <f>IF(F51="","",VLOOKUP(F51,'SELECT KELAS GASAL'!C$8:X$181,22,FALSE))</f>
        <v>25</v>
      </c>
      <c r="Q51" s="98" t="str">
        <f>IF(F51="","",VLOOKUP(F51,'SELECT KELAS GASAL'!C$8:N$181,11,FALSE))</f>
        <v>Heri Priyanto,S.T., M.T.</v>
      </c>
      <c r="R51" s="52" t="s">
        <v>173</v>
      </c>
    </row>
    <row r="52" spans="2:18" ht="34.950000000000003" customHeight="1" x14ac:dyDescent="0.3">
      <c r="B52" s="272"/>
      <c r="C52" s="51">
        <v>0.60416666666666663</v>
      </c>
      <c r="D52" s="51" t="str">
        <f t="shared" si="1"/>
        <v>s/d</v>
      </c>
      <c r="E52" s="51">
        <f>IF(O52="","",(IF(O52=4,C52+TIME(0,2*50,0),C52+TIME(0,O52*50,0))))</f>
        <v>0.70833333333333326</v>
      </c>
      <c r="F52" s="101" t="s">
        <v>401</v>
      </c>
      <c r="G52" s="115" t="s">
        <v>394</v>
      </c>
      <c r="H52" s="52" t="str">
        <f>IF(F52="","",VLOOKUP(F52,'SELECT KELAS GASAL'!C$8:N$181,2,FALSE))</f>
        <v>INF-55201-304</v>
      </c>
      <c r="I52" s="98" t="str">
        <f>IF(F52="","",VLOOKUP(F52,'SELECT KELAS GASAL'!C$8:N$181,3,FALSE))</f>
        <v>Sistem Tertanam*</v>
      </c>
      <c r="J52" s="52" t="str">
        <f>IF(F52="","",VLOOKUP(F52,'SELECT KELAS GASAL'!C$8:N$181,12,FALSE))</f>
        <v>HM / AAJ</v>
      </c>
      <c r="K52" s="52" t="str">
        <f>IF(F52="","",VLOOKUP(F52,'SELECT KELAS GASAL'!C$8:N$181,8,FALSE))</f>
        <v>HM</v>
      </c>
      <c r="L52" s="52" t="str">
        <f>IF(F52="","",VLOOKUP(F52,'SELECT KELAS GASAL'!C$8:N$181,10,FALSE))</f>
        <v>AAJ</v>
      </c>
      <c r="M52" s="52" t="str">
        <f>IF(F52="","",VLOOKUP(F52,'SELECT KELAS GASAL'!C$8:N$181,6,FALSE))</f>
        <v>D</v>
      </c>
      <c r="N52" s="52">
        <f>IF(F52="","",VLOOKUP(F52,'SELECT KELAS GASAL'!C$8:N$181,4,FALSE))</f>
        <v>5</v>
      </c>
      <c r="O52" s="52">
        <f>IF(F52="","",VLOOKUP(F52,'SELECT KELAS GASAL'!C$8:N$181,5,FALSE))</f>
        <v>3</v>
      </c>
      <c r="P52" s="52">
        <f>IF(F52="","",VLOOKUP(F52,'SELECT KELAS GASAL'!C$8:X$181,22,FALSE))</f>
        <v>20</v>
      </c>
      <c r="Q52" s="98" t="str">
        <f>IF(F52="","",VLOOKUP(F52,'SELECT KELAS GASAL'!C$8:N$181,11,FALSE))</f>
        <v>Hafiz Muhardi, S.T., M.Kom / Alfian Abdul Jalid, S.Kom., M.Cs.</v>
      </c>
      <c r="R52" s="52" t="s">
        <v>173</v>
      </c>
    </row>
    <row r="53" spans="2:18" ht="34.950000000000003" customHeight="1" x14ac:dyDescent="0.3">
      <c r="B53" s="272"/>
      <c r="C53" s="51">
        <v>0.60416666666666663</v>
      </c>
      <c r="D53" s="51" t="str">
        <f t="shared" si="1"/>
        <v>s/d</v>
      </c>
      <c r="E53" s="51">
        <f>IF(O53="","",(IF(O53=4,C53+TIME(0,2*50,0),C53+TIME(0,O53*50,0))))</f>
        <v>0.70833333333333326</v>
      </c>
      <c r="F53" s="101" t="s">
        <v>310</v>
      </c>
      <c r="G53" s="115" t="s">
        <v>394</v>
      </c>
      <c r="H53" s="52" t="str">
        <f>IF(F53="","",VLOOKUP(F53,'SELECT KELAS GASAL'!C$8:N$181,2,FALSE))</f>
        <v>INF­55201­523</v>
      </c>
      <c r="I53" s="98" t="str">
        <f>IF(F53="","",VLOOKUP(F53,'SELECT KELAS GASAL'!C$8:N$181,3,FALSE))</f>
        <v xml:space="preserve">Komputasi  Awan  </v>
      </c>
      <c r="J53" s="52" t="str">
        <f>IF(F53="","",VLOOKUP(F53,'SELECT KELAS GASAL'!C$8:N$181,12,FALSE))</f>
        <v>AS</v>
      </c>
      <c r="K53" s="52" t="str">
        <f>IF(F53="","",VLOOKUP(F53,'SELECT KELAS GASAL'!C$8:N$181,8,FALSE))</f>
        <v>AS</v>
      </c>
      <c r="L53" s="52" t="str">
        <f>IF(F53="","",VLOOKUP(F53,'SELECT KELAS GASAL'!C$8:N$181,10,FALSE))</f>
        <v>-</v>
      </c>
      <c r="M53" s="52" t="str">
        <f>IF(F53="","",VLOOKUP(F53,'SELECT KELAS GASAL'!C$8:N$181,6,FALSE))</f>
        <v>A</v>
      </c>
      <c r="N53" s="52">
        <f>IF(F53="","",VLOOKUP(F53,'SELECT KELAS GASAL'!C$8:N$181,4,FALSE))</f>
        <v>7</v>
      </c>
      <c r="O53" s="52">
        <f>IF(F53="","",VLOOKUP(F53,'SELECT KELAS GASAL'!C$8:N$181,5,FALSE))</f>
        <v>3</v>
      </c>
      <c r="P53" s="52">
        <f>IF(F53="","",VLOOKUP(F53,'SELECT KELAS GASAL'!C$8:X$181,22,FALSE))</f>
        <v>20</v>
      </c>
      <c r="Q53" s="98" t="str">
        <f>IF(F53="","",VLOOKUP(F53,'SELECT KELAS GASAL'!C$8:N$181,11,FALSE))</f>
        <v>Anggi Srimurdianti, S.T., M.T.</v>
      </c>
      <c r="R53" s="52" t="s">
        <v>173</v>
      </c>
    </row>
    <row r="54" spans="2:18" ht="34.799999999999997" customHeight="1" x14ac:dyDescent="0.3">
      <c r="B54" s="122"/>
      <c r="C54" s="116"/>
      <c r="D54" s="116" t="str">
        <f t="shared" si="1"/>
        <v/>
      </c>
      <c r="E54" s="116"/>
      <c r="F54" s="117"/>
      <c r="G54" s="118" t="s">
        <v>394</v>
      </c>
      <c r="H54" s="119"/>
      <c r="I54" s="120"/>
      <c r="J54" s="119"/>
      <c r="K54" s="119" t="str">
        <f>IF(F54="","",VLOOKUP(F54,'SELECT KELAS GASAL'!C$8:N$181,8,FALSE))</f>
        <v/>
      </c>
      <c r="L54" s="119" t="str">
        <f>IF(F54="","",VLOOKUP(F54,'SELECT KELAS GASAL'!C$8:N$181,10,FALSE))</f>
        <v/>
      </c>
      <c r="M54" s="119"/>
      <c r="N54" s="119"/>
      <c r="O54" s="119"/>
      <c r="P54" s="52" t="str">
        <f>IF(F54="","",VLOOKUP(F54,'SELECT KELAS GASAL'!C$8:X$181,22,FALSE))</f>
        <v/>
      </c>
      <c r="Q54" s="120" t="str">
        <f>IF(F54="","",VLOOKUP(F54,'SELECT KELAS GASAL'!C$8:N$181,11,FALSE))</f>
        <v/>
      </c>
      <c r="R54" s="119"/>
    </row>
    <row r="55" spans="2:18" ht="34.950000000000003" customHeight="1" x14ac:dyDescent="0.3">
      <c r="B55" s="272" t="s">
        <v>327</v>
      </c>
      <c r="C55" s="51">
        <v>0.3125</v>
      </c>
      <c r="D55" s="51" t="str">
        <f t="shared" si="1"/>
        <v>s/d</v>
      </c>
      <c r="E55" s="51">
        <f>IF(O55="","",(IF(O55=4,C55+TIME(0,2*50,0),C55+TIME(0,O55*50,0))))</f>
        <v>0.41666666666666669</v>
      </c>
      <c r="F55" s="101" t="s">
        <v>360</v>
      </c>
      <c r="G55" s="115" t="s">
        <v>394</v>
      </c>
      <c r="H55" s="52" t="str">
        <f>IF(F55="","",VLOOKUP(F55,'SELECT KELAS GASAL'!C$8:N$181,2,FALSE))</f>
        <v>UMG-55201-105</v>
      </c>
      <c r="I55" s="98" t="str">
        <f>IF(F55="","",VLOOKUP(F55,'SELECT KELAS GASAL'!C$8:N$181,3,FALSE))</f>
        <v>Pendidikan Agama</v>
      </c>
      <c r="J55" s="52" t="str">
        <f>IF(F55="","",VLOOKUP(F55,'SELECT KELAS GASAL'!C$8:N$181,12,FALSE))</f>
        <v>MKU</v>
      </c>
      <c r="K55" s="52" t="str">
        <f>IF(F55="","",VLOOKUP(F55,'SELECT KELAS GASAL'!C$8:N$181,8,FALSE))</f>
        <v>MKU</v>
      </c>
      <c r="L55" s="52" t="str">
        <f>IF(F55="","",VLOOKUP(F55,'SELECT KELAS GASAL'!C$8:N$181,10,FALSE))</f>
        <v>-</v>
      </c>
      <c r="M55" s="52" t="str">
        <f>IF(F55="","",VLOOKUP(F55,'SELECT KELAS GASAL'!C$8:N$181,6,FALSE))</f>
        <v>A</v>
      </c>
      <c r="N55" s="52">
        <f>IF(F55="","",VLOOKUP(F55,'SELECT KELAS GASAL'!C$8:N$181,4,FALSE))</f>
        <v>1</v>
      </c>
      <c r="O55" s="52">
        <f>IF(F55="","",VLOOKUP(F55,'SELECT KELAS GASAL'!C$8:N$181,5,FALSE))</f>
        <v>3</v>
      </c>
      <c r="P55" s="52">
        <f>IF(F55="","",VLOOKUP(F55,'SELECT KELAS GASAL'!C$8:X$181,22,FALSE))</f>
        <v>35</v>
      </c>
      <c r="Q55" s="98" t="str">
        <f>IF(F55="","",VLOOKUP(F55,'SELECT KELAS GASAL'!C$8:N$181,11,FALSE))</f>
        <v>MKU</v>
      </c>
      <c r="R55" s="52" t="s">
        <v>173</v>
      </c>
    </row>
    <row r="56" spans="2:18" ht="34.950000000000003" customHeight="1" x14ac:dyDescent="0.3">
      <c r="B56" s="272"/>
      <c r="C56" s="51">
        <v>0.3125</v>
      </c>
      <c r="D56" s="51" t="str">
        <f t="shared" si="1"/>
        <v>s/d</v>
      </c>
      <c r="E56" s="51">
        <f>IF(O56="","",(IF(O56=4,C56+TIME(0,2*50,0),C56+TIME(0,O56*50,0))))</f>
        <v>0.41666666666666669</v>
      </c>
      <c r="F56" s="101" t="s">
        <v>359</v>
      </c>
      <c r="G56" s="115" t="s">
        <v>394</v>
      </c>
      <c r="H56" s="52" t="str">
        <f>IF(F56="","",VLOOKUP(F56,'SELECT KELAS GASAL'!C$8:N$181,2,FALSE))</f>
        <v>UMG-55201-105</v>
      </c>
      <c r="I56" s="98" t="str">
        <f>IF(F56="","",VLOOKUP(F56,'SELECT KELAS GASAL'!C$8:N$181,3,FALSE))</f>
        <v>Pendidikan Agama</v>
      </c>
      <c r="J56" s="52" t="str">
        <f>IF(F56="","",VLOOKUP(F56,'SELECT KELAS GASAL'!C$8:N$181,12,FALSE))</f>
        <v>MKU</v>
      </c>
      <c r="K56" s="52" t="str">
        <f>IF(F56="","",VLOOKUP(F56,'SELECT KELAS GASAL'!C$8:N$181,8,FALSE))</f>
        <v>MKU</v>
      </c>
      <c r="L56" s="52" t="str">
        <f>IF(F56="","",VLOOKUP(F56,'SELECT KELAS GASAL'!C$8:N$181,10,FALSE))</f>
        <v>-</v>
      </c>
      <c r="M56" s="52" t="str">
        <f>IF(F56="","",VLOOKUP(F56,'SELECT KELAS GASAL'!C$8:N$181,6,FALSE))</f>
        <v>B</v>
      </c>
      <c r="N56" s="52">
        <f>IF(F56="","",VLOOKUP(F56,'SELECT KELAS GASAL'!C$8:N$181,4,FALSE))</f>
        <v>1</v>
      </c>
      <c r="O56" s="52">
        <f>IF(F56="","",VLOOKUP(F56,'SELECT KELAS GASAL'!C$8:N$181,5,FALSE))</f>
        <v>3</v>
      </c>
      <c r="P56" s="52">
        <f>IF(F56="","",VLOOKUP(F56,'SELECT KELAS GASAL'!C$8:X$181,22,FALSE))</f>
        <v>35</v>
      </c>
      <c r="Q56" s="98" t="str">
        <f>IF(F56="","",VLOOKUP(F56,'SELECT KELAS GASAL'!C$8:N$181,11,FALSE))</f>
        <v>MKU</v>
      </c>
      <c r="R56" s="52" t="s">
        <v>173</v>
      </c>
    </row>
    <row r="57" spans="2:18" ht="34.950000000000003" customHeight="1" x14ac:dyDescent="0.3">
      <c r="B57" s="272"/>
      <c r="C57" s="51">
        <v>0.3125</v>
      </c>
      <c r="D57" s="51" t="str">
        <f t="shared" si="1"/>
        <v>s/d</v>
      </c>
      <c r="E57" s="51">
        <f>IF(O57="","",(IF(O57=4,C57+TIME(0,2*50,0),C57+TIME(0,O57*50,0))))</f>
        <v>0.41666666666666669</v>
      </c>
      <c r="F57" s="101" t="s">
        <v>311</v>
      </c>
      <c r="G57" s="115" t="s">
        <v>394</v>
      </c>
      <c r="H57" s="52" t="str">
        <f>IF(F57="","",VLOOKUP(F57,'SELECT KELAS GASAL'!C$8:N$181,2,FALSE))</f>
        <v>INF-55201-204</v>
      </c>
      <c r="I57" s="98" t="str">
        <f>IF(F57="","",VLOOKUP(F57,'SELECT KELAS GASAL'!C$8:N$181,3,FALSE))</f>
        <v>Metode  Numerik*</v>
      </c>
      <c r="J57" s="52" t="str">
        <f>IF(F57="","",VLOOKUP(F57,'SELECT KELAS GASAL'!C$8:N$181,12,FALSE))</f>
        <v>HSP</v>
      </c>
      <c r="K57" s="52" t="str">
        <f>IF(F57="","",VLOOKUP(F57,'SELECT KELAS GASAL'!C$8:N$181,8,FALSE))</f>
        <v>HSP</v>
      </c>
      <c r="L57" s="52" t="str">
        <f>IF(F57="","",VLOOKUP(F57,'SELECT KELAS GASAL'!C$8:N$181,10,FALSE))</f>
        <v>-</v>
      </c>
      <c r="M57" s="52" t="str">
        <f>IF(F57="","",VLOOKUP(F57,'SELECT KELAS GASAL'!C$8:N$181,6,FALSE))</f>
        <v>C</v>
      </c>
      <c r="N57" s="52">
        <f>IF(F57="","",VLOOKUP(F57,'SELECT KELAS GASAL'!C$8:N$181,4,FALSE))</f>
        <v>3</v>
      </c>
      <c r="O57" s="52">
        <f>IF(F57="","",VLOOKUP(F57,'SELECT KELAS GASAL'!C$8:N$181,5,FALSE))</f>
        <v>3</v>
      </c>
      <c r="P57" s="52">
        <f>IF(F57="","",VLOOKUP(F57,'SELECT KELAS GASAL'!C$8:X$181,22,FALSE))</f>
        <v>25</v>
      </c>
      <c r="Q57" s="98" t="str">
        <f>IF(F57="","",VLOOKUP(F57,'SELECT KELAS GASAL'!C$8:N$181,11,FALSE))</f>
        <v>Helen Sastypratiwi, S.T., M.Eng</v>
      </c>
      <c r="R57" s="52" t="s">
        <v>173</v>
      </c>
    </row>
    <row r="58" spans="2:18" ht="34.950000000000003" customHeight="1" x14ac:dyDescent="0.3">
      <c r="B58" s="272"/>
      <c r="C58" s="51">
        <v>0.3125</v>
      </c>
      <c r="D58" s="51" t="str">
        <f t="shared" si="1"/>
        <v>s/d</v>
      </c>
      <c r="E58" s="51">
        <f>IF(O58="","",(IF(O58=4,C58+TIME(0,2*50,0),C58+TIME(0,O58*50,0))))</f>
        <v>0.41666666666666669</v>
      </c>
      <c r="F58" s="101" t="s">
        <v>358</v>
      </c>
      <c r="G58" s="115" t="s">
        <v>394</v>
      </c>
      <c r="H58" s="52" t="str">
        <f>IF(F58="","",VLOOKUP(F58,'SELECT KELAS GASAL'!C$8:N$181,2,FALSE))</f>
        <v>INF-55201-305</v>
      </c>
      <c r="I58" s="98" t="str">
        <f>IF(F58="","",VLOOKUP(F58,'SELECT KELAS GASAL'!C$8:N$181,3,FALSE))</f>
        <v>Kecerdasan Buatan</v>
      </c>
      <c r="J58" s="52" t="str">
        <f>IF(F58="","",VLOOKUP(F58,'SELECT KELAS GASAL'!C$8:N$181,12,FALSE))</f>
        <v>TR / RS</v>
      </c>
      <c r="K58" s="52" t="str">
        <f>IF(F58="","",VLOOKUP(F58,'SELECT KELAS GASAL'!C$8:N$181,8,FALSE))</f>
        <v>TR</v>
      </c>
      <c r="L58" s="52" t="str">
        <f>IF(F58="","",VLOOKUP(F58,'SELECT KELAS GASAL'!C$8:N$181,10,FALSE))</f>
        <v>RS</v>
      </c>
      <c r="M58" s="52" t="str">
        <f>IF(F58="","",VLOOKUP(F58,'SELECT KELAS GASAL'!C$8:N$181,6,FALSE))</f>
        <v>D</v>
      </c>
      <c r="N58" s="52">
        <f>IF(F58="","",VLOOKUP(F58,'SELECT KELAS GASAL'!C$8:N$181,4,FALSE))</f>
        <v>5</v>
      </c>
      <c r="O58" s="52">
        <f>IF(F58="","",VLOOKUP(F58,'SELECT KELAS GASAL'!C$8:N$181,5,FALSE))</f>
        <v>3</v>
      </c>
      <c r="P58" s="52">
        <f>IF(F58="","",VLOOKUP(F58,'SELECT KELAS GASAL'!C$8:X$181,22,FALSE))</f>
        <v>20</v>
      </c>
      <c r="Q58" s="98" t="str">
        <f>IF(F58="","",VLOOKUP(F58,'SELECT KELAS GASAL'!C$8:N$181,11,FALSE))</f>
        <v>Tursina ST, M.Cs / Rina Septiriana, S.T., M.Cs.</v>
      </c>
      <c r="R58" s="52" t="s">
        <v>173</v>
      </c>
    </row>
    <row r="59" spans="2:18" ht="34.950000000000003" customHeight="1" x14ac:dyDescent="0.3">
      <c r="B59" s="272"/>
      <c r="C59" s="51">
        <v>0.3125</v>
      </c>
      <c r="D59" s="51" t="str">
        <f t="shared" si="1"/>
        <v>s/d</v>
      </c>
      <c r="E59" s="51">
        <f>IF(O59="","",(IF(O59=4,C59+TIME(0,2*50,0),C59+TIME(0,O59*50,0))))</f>
        <v>0.41666666666666669</v>
      </c>
      <c r="F59" s="101" t="s">
        <v>309</v>
      </c>
      <c r="G59" s="115" t="s">
        <v>394</v>
      </c>
      <c r="H59" s="52" t="str">
        <f>IF(F59="","",VLOOKUP(F59,'SELECT KELAS GASAL'!C$8:N$181,2,FALSE))</f>
        <v>INF-55201-401</v>
      </c>
      <c r="I59" s="98" t="str">
        <f>IF(F59="","",VLOOKUP(F59,'SELECT KELAS GASAL'!C$8:N$181,3,FALSE))</f>
        <v>Teknopreneur*</v>
      </c>
      <c r="J59" s="52" t="str">
        <f>IF(F59="","",VLOOKUP(F59,'SELECT KELAS GASAL'!C$8:N$181,12,FALSE))</f>
        <v>RDN</v>
      </c>
      <c r="K59" s="52" t="str">
        <f>IF(F59="","",VLOOKUP(F59,'SELECT KELAS GASAL'!C$8:N$181,8,FALSE))</f>
        <v>RDN</v>
      </c>
      <c r="L59" s="52" t="str">
        <f>IF(F59="","",VLOOKUP(F59,'SELECT KELAS GASAL'!C$8:N$181,10,FALSE))</f>
        <v>-</v>
      </c>
      <c r="M59" s="52" t="str">
        <f>IF(F59="","",VLOOKUP(F59,'SELECT KELAS GASAL'!C$8:N$181,6,FALSE))</f>
        <v>A</v>
      </c>
      <c r="N59" s="52">
        <f>IF(F59="","",VLOOKUP(F59,'SELECT KELAS GASAL'!C$8:N$181,4,FALSE))</f>
        <v>7</v>
      </c>
      <c r="O59" s="52">
        <f>IF(F59="","",VLOOKUP(F59,'SELECT KELAS GASAL'!C$8:N$181,5,FALSE))</f>
        <v>3</v>
      </c>
      <c r="P59" s="52">
        <f>IF(F59="","",VLOOKUP(F59,'SELECT KELAS GASAL'!C$8:X$181,22,FALSE))</f>
        <v>20</v>
      </c>
      <c r="Q59" s="98" t="str">
        <f>IF(F59="","",VLOOKUP(F59,'SELECT KELAS GASAL'!C$8:N$181,11,FALSE))</f>
        <v>Rudy Dwi Nyoto, S.T., M.Eng</v>
      </c>
      <c r="R59" s="52" t="s">
        <v>173</v>
      </c>
    </row>
    <row r="60" spans="2:18" ht="34.950000000000003" customHeight="1" x14ac:dyDescent="0.3">
      <c r="B60" s="272"/>
      <c r="C60" s="51"/>
      <c r="D60" s="51" t="str">
        <f t="shared" si="1"/>
        <v/>
      </c>
      <c r="E60" s="51"/>
      <c r="F60" s="101"/>
      <c r="G60" s="115" t="s">
        <v>394</v>
      </c>
      <c r="H60" s="52"/>
      <c r="I60" s="98"/>
      <c r="J60" s="52"/>
      <c r="K60" s="52" t="str">
        <f>IF(F60="","",VLOOKUP(F60,'SELECT KELAS GASAL'!C$8:N$181,8,FALSE))</f>
        <v/>
      </c>
      <c r="L60" s="52" t="str">
        <f>IF(F60="","",VLOOKUP(F60,'SELECT KELAS GASAL'!C$8:N$181,10,FALSE))</f>
        <v/>
      </c>
      <c r="M60" s="52"/>
      <c r="N60" s="52"/>
      <c r="O60" s="52"/>
      <c r="P60" s="52" t="str">
        <f>IF(F60="","",VLOOKUP(F60,'SELECT KELAS GASAL'!C$8:X$181,22,FALSE))</f>
        <v/>
      </c>
      <c r="Q60" s="98" t="str">
        <f>IF(F60="","",VLOOKUP(F60,'SELECT KELAS GASAL'!C$8:N$181,11,FALSE))</f>
        <v/>
      </c>
      <c r="R60" s="53"/>
    </row>
    <row r="61" spans="2:18" ht="34.950000000000003" customHeight="1" x14ac:dyDescent="0.3">
      <c r="B61" s="272"/>
      <c r="C61" s="51">
        <v>0.4236111111111111</v>
      </c>
      <c r="D61" s="51" t="str">
        <f t="shared" si="1"/>
        <v>s/d</v>
      </c>
      <c r="E61" s="51">
        <f t="shared" ref="E61:E74" si="4">IF(O61="","",(IF(O61=4,C61+TIME(0,2*50,0),C61+TIME(0,O61*50,0))))</f>
        <v>0.49305555555555558</v>
      </c>
      <c r="F61" s="101" t="s">
        <v>312</v>
      </c>
      <c r="G61" s="115" t="s">
        <v>394</v>
      </c>
      <c r="H61" s="52" t="str">
        <f>IF(F61="","",VLOOKUP(F61,'SELECT KELAS GASAL'!C$8:N$181,2,FALSE))</f>
        <v>UMG-55201-103</v>
      </c>
      <c r="I61" s="98" t="str">
        <f>IF(F61="","",VLOOKUP(F61,'SELECT KELAS GASAL'!C$8:N$181,3,FALSE))</f>
        <v>Bahasa  Inggris  </v>
      </c>
      <c r="J61" s="52" t="str">
        <f>IF(F61="","",VLOOKUP(F61,'SELECT KELAS GASAL'!C$8:N$181,12,FALSE))</f>
        <v>MKU</v>
      </c>
      <c r="K61" s="52" t="str">
        <f>IF(F61="","",VLOOKUP(F61,'SELECT KELAS GASAL'!C$8:N$181,8,FALSE))</f>
        <v>MKU</v>
      </c>
      <c r="L61" s="52" t="str">
        <f>IF(F61="","",VLOOKUP(F61,'SELECT KELAS GASAL'!C$8:N$181,10,FALSE))</f>
        <v>-</v>
      </c>
      <c r="M61" s="52" t="str">
        <f>IF(F61="","",VLOOKUP(F61,'SELECT KELAS GASAL'!C$8:N$181,6,FALSE))</f>
        <v>A</v>
      </c>
      <c r="N61" s="52">
        <f>IF(F61="","",VLOOKUP(F61,'SELECT KELAS GASAL'!C$8:N$181,4,FALSE))</f>
        <v>1</v>
      </c>
      <c r="O61" s="52">
        <f>IF(F61="","",VLOOKUP(F61,'SELECT KELAS GASAL'!C$8:N$181,5,FALSE))</f>
        <v>2</v>
      </c>
      <c r="P61" s="52">
        <f>IF(F61="","",VLOOKUP(F61,'SELECT KELAS GASAL'!C$8:X$181,22,FALSE))</f>
        <v>35</v>
      </c>
      <c r="Q61" s="98" t="str">
        <f>IF(F61="","",VLOOKUP(F61,'SELECT KELAS GASAL'!C$8:N$181,11,FALSE))</f>
        <v>MKU</v>
      </c>
      <c r="R61" s="52" t="s">
        <v>173</v>
      </c>
    </row>
    <row r="62" spans="2:18" ht="34.950000000000003" customHeight="1" x14ac:dyDescent="0.3">
      <c r="B62" s="272"/>
      <c r="C62" s="51">
        <v>0.4236111111111111</v>
      </c>
      <c r="D62" s="51" t="str">
        <f t="shared" si="1"/>
        <v>s/d</v>
      </c>
      <c r="E62" s="51">
        <f t="shared" si="4"/>
        <v>0.49305555555555558</v>
      </c>
      <c r="F62" s="101" t="s">
        <v>361</v>
      </c>
      <c r="G62" s="115" t="s">
        <v>394</v>
      </c>
      <c r="H62" s="52" t="str">
        <f>IF(F62="","",VLOOKUP(F62,'SELECT KELAS GASAL'!C$8:N$181,2,FALSE))</f>
        <v>UMG-55201-101</v>
      </c>
      <c r="I62" s="98" t="str">
        <f>IF(F62="","",VLOOKUP(F62,'SELECT KELAS GASAL'!C$8:N$181,3,FALSE))</f>
        <v>Pendidikan Pancasila</v>
      </c>
      <c r="J62" s="52" t="str">
        <f>IF(F62="","",VLOOKUP(F62,'SELECT KELAS GASAL'!C$8:N$181,12,FALSE))</f>
        <v>MKU</v>
      </c>
      <c r="K62" s="52" t="str">
        <f>IF(F62="","",VLOOKUP(F62,'SELECT KELAS GASAL'!C$8:N$181,8,FALSE))</f>
        <v>MKU</v>
      </c>
      <c r="L62" s="52" t="str">
        <f>IF(F62="","",VLOOKUP(F62,'SELECT KELAS GASAL'!C$8:N$181,10,FALSE))</f>
        <v>-</v>
      </c>
      <c r="M62" s="52" t="str">
        <f>IF(F62="","",VLOOKUP(F62,'SELECT KELAS GASAL'!C$8:N$181,6,FALSE))</f>
        <v>B</v>
      </c>
      <c r="N62" s="52">
        <f>IF(F62="","",VLOOKUP(F62,'SELECT KELAS GASAL'!C$8:N$181,4,FALSE))</f>
        <v>1</v>
      </c>
      <c r="O62" s="52">
        <f>IF(F62="","",VLOOKUP(F62,'SELECT KELAS GASAL'!C$8:N$181,5,FALSE))</f>
        <v>2</v>
      </c>
      <c r="P62" s="52">
        <f>IF(F62="","",VLOOKUP(F62,'SELECT KELAS GASAL'!C$8:X$181,22,FALSE))</f>
        <v>35</v>
      </c>
      <c r="Q62" s="98" t="str">
        <f>IF(F62="","",VLOOKUP(F62,'SELECT KELAS GASAL'!C$8:N$181,11,FALSE))</f>
        <v>MKU</v>
      </c>
      <c r="R62" s="52" t="s">
        <v>173</v>
      </c>
    </row>
    <row r="63" spans="2:18" ht="34.950000000000003" customHeight="1" x14ac:dyDescent="0.3">
      <c r="B63" s="272"/>
      <c r="C63" s="51">
        <v>0.4236111111111111</v>
      </c>
      <c r="D63" s="51" t="str">
        <f t="shared" si="1"/>
        <v>s/d</v>
      </c>
      <c r="E63" s="51">
        <f t="shared" si="4"/>
        <v>0.49305555555555558</v>
      </c>
      <c r="F63" s="101" t="s">
        <v>314</v>
      </c>
      <c r="G63" s="115" t="s">
        <v>394</v>
      </c>
      <c r="H63" s="52" t="str">
        <f>IF(F63="","",VLOOKUP(F63,'SELECT KELAS GASAL'!C$8:N$181,2,FALSE))</f>
        <v>UMG-55201-103</v>
      </c>
      <c r="I63" s="98" t="str">
        <f>IF(F63="","",VLOOKUP(F63,'SELECT KELAS GASAL'!C$8:N$181,3,FALSE))</f>
        <v>Bahasa  Inggris  </v>
      </c>
      <c r="J63" s="52" t="str">
        <f>IF(F63="","",VLOOKUP(F63,'SELECT KELAS GASAL'!C$8:N$181,12,FALSE))</f>
        <v>MKU</v>
      </c>
      <c r="K63" s="52" t="str">
        <f>IF(F63="","",VLOOKUP(F63,'SELECT KELAS GASAL'!C$8:N$181,8,FALSE))</f>
        <v>MKU</v>
      </c>
      <c r="L63" s="52" t="str">
        <f>IF(F63="","",VLOOKUP(F63,'SELECT KELAS GASAL'!C$8:N$181,10,FALSE))</f>
        <v>-</v>
      </c>
      <c r="M63" s="52" t="str">
        <f>IF(F63="","",VLOOKUP(F63,'SELECT KELAS GASAL'!C$8:N$181,6,FALSE))</f>
        <v>C</v>
      </c>
      <c r="N63" s="52">
        <f>IF(F63="","",VLOOKUP(F63,'SELECT KELAS GASAL'!C$8:N$181,4,FALSE))</f>
        <v>1</v>
      </c>
      <c r="O63" s="52">
        <f>IF(F63="","",VLOOKUP(F63,'SELECT KELAS GASAL'!C$8:N$181,5,FALSE))</f>
        <v>2</v>
      </c>
      <c r="P63" s="52">
        <f>IF(F63="","",VLOOKUP(F63,'SELECT KELAS GASAL'!C$8:X$181,22,FALSE))</f>
        <v>35</v>
      </c>
      <c r="Q63" s="98" t="str">
        <f>IF(F63="","",VLOOKUP(F63,'SELECT KELAS GASAL'!C$8:N$181,11,FALSE))</f>
        <v>MKU</v>
      </c>
      <c r="R63" s="52" t="s">
        <v>173</v>
      </c>
    </row>
    <row r="64" spans="2:18" ht="34.950000000000003" customHeight="1" x14ac:dyDescent="0.3">
      <c r="B64" s="272"/>
      <c r="C64" s="51"/>
      <c r="D64" s="51" t="str">
        <f t="shared" si="1"/>
        <v/>
      </c>
      <c r="E64" s="51" t="str">
        <f t="shared" si="4"/>
        <v/>
      </c>
      <c r="F64" s="101"/>
      <c r="G64" s="115" t="s">
        <v>394</v>
      </c>
      <c r="H64" s="52" t="str">
        <f>IF(F64="","",VLOOKUP(F64,'SELECT KELAS GASAL'!C$8:N$181,2,FALSE))</f>
        <v/>
      </c>
      <c r="I64" s="98" t="str">
        <f>IF(F64="","",VLOOKUP(F64,'SELECT KELAS GASAL'!C$8:N$181,3,FALSE))</f>
        <v/>
      </c>
      <c r="J64" s="52" t="str">
        <f>IF(F64="","",VLOOKUP(F64,'SELECT KELAS GASAL'!C$8:N$181,12,FALSE))</f>
        <v/>
      </c>
      <c r="K64" s="52" t="str">
        <f>IF(F64="","",VLOOKUP(F64,'SELECT KELAS GASAL'!C$8:N$181,8,FALSE))</f>
        <v/>
      </c>
      <c r="L64" s="52" t="str">
        <f>IF(F64="","",VLOOKUP(F64,'SELECT KELAS GASAL'!C$8:N$181,10,FALSE))</f>
        <v/>
      </c>
      <c r="M64" s="52" t="str">
        <f>IF(F64="","",VLOOKUP(F64,'SELECT KELAS GASAL'!C$8:N$181,6,FALSE))</f>
        <v/>
      </c>
      <c r="N64" s="52" t="str">
        <f>IF(F64="","",VLOOKUP(F64,'SELECT KELAS GASAL'!C$8:N$181,4,FALSE))</f>
        <v/>
      </c>
      <c r="O64" s="52" t="str">
        <f>IF(F64="","",VLOOKUP(F64,'SELECT KELAS GASAL'!C$8:N$181,5,FALSE))</f>
        <v/>
      </c>
      <c r="P64" s="52" t="str">
        <f>IF(F64="","",VLOOKUP(F64,'SELECT KELAS GASAL'!C$8:X$181,22,FALSE))</f>
        <v/>
      </c>
      <c r="Q64" s="98" t="str">
        <f>IF(F64="","",VLOOKUP(F64,'SELECT KELAS GASAL'!C$8:N$181,11,FALSE))</f>
        <v/>
      </c>
      <c r="R64" s="53"/>
    </row>
    <row r="65" spans="2:18" ht="34.950000000000003" customHeight="1" x14ac:dyDescent="0.3">
      <c r="B65" s="272"/>
      <c r="C65" s="51">
        <v>0.54166666666666663</v>
      </c>
      <c r="D65" s="51" t="str">
        <f t="shared" si="1"/>
        <v>s/d</v>
      </c>
      <c r="E65" s="51">
        <f t="shared" si="4"/>
        <v>0.61111111111111105</v>
      </c>
      <c r="F65" s="101" t="s">
        <v>385</v>
      </c>
      <c r="G65" s="115" t="s">
        <v>394</v>
      </c>
      <c r="H65" s="52" t="str">
        <f>IF(F65="","",VLOOKUP(F65,'SELECT KELAS GASAL'!C$8:N$181,2,FALSE))</f>
        <v>INF-55201-301</v>
      </c>
      <c r="I65" s="98" t="str">
        <f>IF(F65="","",VLOOKUP(F65,'SELECT KELAS GASAL'!C$8:N$181,3,FALSE))</f>
        <v>Interaksi  Manusia  dan  Komputer  </v>
      </c>
      <c r="J65" s="52" t="str">
        <f>IF(F65="","",VLOOKUP(F65,'SELECT KELAS GASAL'!C$8:N$181,12,FALSE))</f>
        <v>AP</v>
      </c>
      <c r="K65" s="52" t="str">
        <f>IF(F65="","",VLOOKUP(F65,'SELECT KELAS GASAL'!C$8:N$181,8,FALSE))</f>
        <v>AP</v>
      </c>
      <c r="L65" s="52" t="str">
        <f>IF(F65="","",VLOOKUP(F65,'SELECT KELAS GASAL'!C$8:N$181,10,FALSE))</f>
        <v>-</v>
      </c>
      <c r="M65" s="52" t="str">
        <f>IF(F65="","",VLOOKUP(F65,'SELECT KELAS GASAL'!C$8:N$181,6,FALSE))</f>
        <v>C</v>
      </c>
      <c r="N65" s="52">
        <f>IF(F65="","",VLOOKUP(F65,'SELECT KELAS GASAL'!C$8:N$181,4,FALSE))</f>
        <v>5</v>
      </c>
      <c r="O65" s="52">
        <f>IF(F65="","",VLOOKUP(F65,'SELECT KELAS GASAL'!C$8:N$181,5,FALSE))</f>
        <v>2</v>
      </c>
      <c r="P65" s="52">
        <f>IF(F65="","",VLOOKUP(F65,'SELECT KELAS GASAL'!C$8:X$181,22,FALSE))</f>
        <v>25</v>
      </c>
      <c r="Q65" s="98" t="str">
        <f>IF(F65="","",VLOOKUP(F65,'SELECT KELAS GASAL'!C$8:N$181,11,FALSE))</f>
        <v>Anggi Perwitasari, S.T., M.T.</v>
      </c>
      <c r="R65" s="52" t="s">
        <v>173</v>
      </c>
    </row>
    <row r="66" spans="2:18" ht="34.950000000000003" customHeight="1" x14ac:dyDescent="0.3">
      <c r="B66" s="272"/>
      <c r="C66" s="51">
        <v>0.54166666666666663</v>
      </c>
      <c r="D66" s="51" t="str">
        <f t="shared" si="1"/>
        <v>s/d</v>
      </c>
      <c r="E66" s="51">
        <f t="shared" si="4"/>
        <v>0.61111111111111105</v>
      </c>
      <c r="F66" s="101" t="s">
        <v>410</v>
      </c>
      <c r="G66" s="115" t="s">
        <v>394</v>
      </c>
      <c r="H66" s="52" t="str">
        <f>IF(F66="","",VLOOKUP(F66,'SELECT KELAS GASAL'!C$8:N$181,2,FALSE))</f>
        <v>INF-55201-201</v>
      </c>
      <c r="I66" s="98" t="str">
        <f>IF(F66="","",VLOOKUP(F66,'SELECT KELAS GASAL'!C$8:N$181,3,FALSE))</f>
        <v>Perancangan Basis Data</v>
      </c>
      <c r="J66" s="52" t="str">
        <f>IF(F66="","",VLOOKUP(F66,'SELECT KELAS GASAL'!C$8:N$181,12,FALSE))</f>
        <v>HN</v>
      </c>
      <c r="K66" s="52" t="str">
        <f>IF(F66="","",VLOOKUP(F66,'SELECT KELAS GASAL'!C$8:N$181,8,FALSE))</f>
        <v>HN</v>
      </c>
      <c r="L66" s="52" t="str">
        <f>IF(F66="","",VLOOKUP(F66,'SELECT KELAS GASAL'!C$8:N$181,10,FALSE))</f>
        <v>-</v>
      </c>
      <c r="M66" s="52" t="str">
        <f>IF(F66="","",VLOOKUP(F66,'SELECT KELAS GASAL'!C$8:N$181,6,FALSE))</f>
        <v>B</v>
      </c>
      <c r="N66" s="52">
        <f>IF(F66="","",VLOOKUP(F66,'SELECT KELAS GASAL'!C$8:N$181,4,FALSE))</f>
        <v>3</v>
      </c>
      <c r="O66" s="52">
        <f>IF(F66="","",VLOOKUP(F66,'SELECT KELAS GASAL'!C$8:N$181,5,FALSE))</f>
        <v>2</v>
      </c>
      <c r="P66" s="52">
        <f>IF(F66="","",VLOOKUP(F66,'SELECT KELAS GASAL'!C$8:X$181,22,FALSE))</f>
        <v>20</v>
      </c>
      <c r="Q66" s="98" t="str">
        <f>IF(F66="","",VLOOKUP(F66,'SELECT KELAS GASAL'!C$8:N$181,11,FALSE))</f>
        <v>Haried Novriando, S.Kom, M.Eng</v>
      </c>
      <c r="R66" s="52" t="s">
        <v>173</v>
      </c>
    </row>
    <row r="67" spans="2:18" ht="34.950000000000003" customHeight="1" x14ac:dyDescent="0.3">
      <c r="B67" s="272"/>
      <c r="C67" s="51">
        <v>0.54166666666666663</v>
      </c>
      <c r="D67" s="51" t="str">
        <f t="shared" si="1"/>
        <v>s/d</v>
      </c>
      <c r="E67" s="51">
        <f t="shared" si="4"/>
        <v>0.61111111111111105</v>
      </c>
      <c r="F67" s="101" t="s">
        <v>380</v>
      </c>
      <c r="G67" s="115" t="s">
        <v>394</v>
      </c>
      <c r="H67" s="52" t="str">
        <f>IF(F67="","",VLOOKUP(F67,'SELECT KELAS GASAL'!C$8:N$181,2,FALSE))</f>
        <v>INF-55201-201</v>
      </c>
      <c r="I67" s="98" t="str">
        <f>IF(F67="","",VLOOKUP(F67,'SELECT KELAS GASAL'!C$8:N$181,3,FALSE))</f>
        <v>Perancangan Basis Data</v>
      </c>
      <c r="J67" s="52" t="str">
        <f>IF(F67="","",VLOOKUP(F67,'SELECT KELAS GASAL'!C$8:N$181,12,FALSE))</f>
        <v>YL / DIU</v>
      </c>
      <c r="K67" s="52" t="str">
        <f>IF(F67="","",VLOOKUP(F67,'SELECT KELAS GASAL'!C$8:N$181,8,FALSE))</f>
        <v>YL</v>
      </c>
      <c r="L67" s="52" t="str">
        <f>IF(F67="","",VLOOKUP(F67,'SELECT KELAS GASAL'!C$8:N$181,10,FALSE))</f>
        <v>DIU</v>
      </c>
      <c r="M67" s="52" t="str">
        <f>IF(F67="","",VLOOKUP(F67,'SELECT KELAS GASAL'!C$8:N$181,6,FALSE))</f>
        <v>A</v>
      </c>
      <c r="N67" s="52">
        <f>IF(F67="","",VLOOKUP(F67,'SELECT KELAS GASAL'!C$8:N$181,4,FALSE))</f>
        <v>3</v>
      </c>
      <c r="O67" s="52">
        <f>IF(F67="","",VLOOKUP(F67,'SELECT KELAS GASAL'!C$8:N$181,5,FALSE))</f>
        <v>2</v>
      </c>
      <c r="P67" s="52">
        <f>IF(F67="","",VLOOKUP(F67,'SELECT KELAS GASAL'!C$8:X$181,22,FALSE))</f>
        <v>20</v>
      </c>
      <c r="Q67" s="98" t="str">
        <f>IF(F67="","",VLOOKUP(F67,'SELECT KELAS GASAL'!C$8:N$181,11,FALSE))</f>
        <v>Yulianti,S.Kom, MMSI / Desepta Isna Ulumi, S.Kom, M.Kom.</v>
      </c>
      <c r="R67" s="52" t="s">
        <v>173</v>
      </c>
    </row>
    <row r="68" spans="2:18" ht="34.950000000000003" customHeight="1" x14ac:dyDescent="0.3">
      <c r="B68" s="272"/>
      <c r="C68" s="51">
        <v>0.54166666666666663</v>
      </c>
      <c r="D68" s="51" t="str">
        <f t="shared" si="1"/>
        <v>s/d</v>
      </c>
      <c r="E68" s="51">
        <f t="shared" si="4"/>
        <v>0.61111111111111105</v>
      </c>
      <c r="F68" s="101" t="s">
        <v>374</v>
      </c>
      <c r="G68" s="115" t="s">
        <v>394</v>
      </c>
      <c r="H68" s="52" t="str">
        <f>IF(F68="","",VLOOKUP(F68,'SELECT KELAS GASAL'!C$8:N$181,2,FALSE))</f>
        <v>INF-55201-310</v>
      </c>
      <c r="I68" s="98" t="str">
        <f>IF(F68="","",VLOOKUP(F68,'SELECT KELAS GASAL'!C$8:N$181,3,FALSE))</f>
        <v>Penulisan Proposal  Tugas  Akhir  </v>
      </c>
      <c r="J68" s="52" t="str">
        <f>IF(F68="","",VLOOKUP(F68,'SELECT KELAS GASAL'!C$8:N$181,12,FALSE))</f>
        <v>YS</v>
      </c>
      <c r="K68" s="52" t="str">
        <f>IF(F68="","",VLOOKUP(F68,'SELECT KELAS GASAL'!C$8:N$181,8,FALSE))</f>
        <v>YS</v>
      </c>
      <c r="L68" s="52" t="str">
        <f>IF(F68="","",VLOOKUP(F68,'SELECT KELAS GASAL'!C$8:N$181,10,FALSE))</f>
        <v>-</v>
      </c>
      <c r="M68" s="52" t="str">
        <f>IF(F68="","",VLOOKUP(F68,'SELECT KELAS GASAL'!C$8:N$181,6,FALSE))</f>
        <v>D</v>
      </c>
      <c r="N68" s="52">
        <f>IF(F68="","",VLOOKUP(F68,'SELECT KELAS GASAL'!C$8:N$181,4,FALSE))</f>
        <v>5</v>
      </c>
      <c r="O68" s="52">
        <f>IF(F68="","",VLOOKUP(F68,'SELECT KELAS GASAL'!C$8:N$181,5,FALSE))</f>
        <v>2</v>
      </c>
      <c r="P68" s="52">
        <f>IF(F68="","",VLOOKUP(F68,'SELECT KELAS GASAL'!C$8:X$181,22,FALSE))</f>
        <v>20</v>
      </c>
      <c r="Q68" s="98" t="str">
        <f>IF(F68="","",VLOOKUP(F68,'SELECT KELAS GASAL'!C$8:N$181,11,FALSE))</f>
        <v>Dr. Yus Sholva, S.T., M.T.</v>
      </c>
      <c r="R68" s="52" t="s">
        <v>173</v>
      </c>
    </row>
    <row r="69" spans="2:18" ht="34.950000000000003" customHeight="1" x14ac:dyDescent="0.3">
      <c r="B69" s="272"/>
      <c r="C69" s="51"/>
      <c r="D69" s="51" t="str">
        <f t="shared" si="1"/>
        <v/>
      </c>
      <c r="E69" s="51" t="str">
        <f t="shared" si="4"/>
        <v/>
      </c>
      <c r="F69" s="101"/>
      <c r="G69" s="115" t="s">
        <v>394</v>
      </c>
      <c r="H69" s="52" t="str">
        <f>IF(F69="","",VLOOKUP(F69,'SELECT KELAS GASAL'!C$8:N$181,2,FALSE))</f>
        <v/>
      </c>
      <c r="I69" s="98" t="str">
        <f>IF(F69="","",VLOOKUP(F69,'SELECT KELAS GASAL'!C$8:N$181,3,FALSE))</f>
        <v/>
      </c>
      <c r="J69" s="52" t="str">
        <f>IF(F69="","",VLOOKUP(F69,'SELECT KELAS GASAL'!C$8:N$181,12,FALSE))</f>
        <v/>
      </c>
      <c r="K69" s="52" t="str">
        <f>IF(F69="","",VLOOKUP(F69,'SELECT KELAS GASAL'!C$8:N$181,8,FALSE))</f>
        <v/>
      </c>
      <c r="L69" s="52" t="str">
        <f>IF(F69="","",VLOOKUP(F69,'SELECT KELAS GASAL'!C$8:N$181,10,FALSE))</f>
        <v/>
      </c>
      <c r="M69" s="52" t="str">
        <f>IF(F69="","",VLOOKUP(F69,'SELECT KELAS GASAL'!C$8:N$181,6,FALSE))</f>
        <v/>
      </c>
      <c r="N69" s="52" t="str">
        <f>IF(F69="","",VLOOKUP(F69,'SELECT KELAS GASAL'!C$8:N$181,4,FALSE))</f>
        <v/>
      </c>
      <c r="O69" s="52" t="str">
        <f>IF(F69="","",VLOOKUP(F69,'SELECT KELAS GASAL'!C$8:N$181,5,FALSE))</f>
        <v/>
      </c>
      <c r="P69" s="52" t="str">
        <f>IF(F69="","",VLOOKUP(F69,'SELECT KELAS GASAL'!C$8:X$181,22,FALSE))</f>
        <v/>
      </c>
      <c r="Q69" s="98" t="str">
        <f>IF(F69="","",VLOOKUP(F69,'SELECT KELAS GASAL'!C$8:N$181,11,FALSE))</f>
        <v/>
      </c>
      <c r="R69" s="53"/>
    </row>
    <row r="70" spans="2:18" ht="34.950000000000003" customHeight="1" x14ac:dyDescent="0.3">
      <c r="B70" s="272"/>
      <c r="C70" s="51">
        <v>0.61458333333333337</v>
      </c>
      <c r="D70" s="51" t="str">
        <f t="shared" si="1"/>
        <v>s/d</v>
      </c>
      <c r="E70" s="51">
        <f t="shared" si="4"/>
        <v>0.71875</v>
      </c>
      <c r="F70" s="101" t="s">
        <v>322</v>
      </c>
      <c r="G70" s="115" t="s">
        <v>394</v>
      </c>
      <c r="H70" s="52" t="str">
        <f>IF(F70="","",VLOOKUP(F70,'SELECT KELAS GASAL'!C$8:N$181,2,FALSE))</f>
        <v>INF-55201-304</v>
      </c>
      <c r="I70" s="98" t="str">
        <f>IF(F70="","",VLOOKUP(F70,'SELECT KELAS GASAL'!C$8:N$181,3,FALSE))</f>
        <v>Sistem Tertanam*</v>
      </c>
      <c r="J70" s="52" t="str">
        <f>IF(F70="","",VLOOKUP(F70,'SELECT KELAS GASAL'!C$8:N$181,12,FALSE))</f>
        <v>HM</v>
      </c>
      <c r="K70" s="52" t="str">
        <f>IF(F70="","",VLOOKUP(F70,'SELECT KELAS GASAL'!C$8:N$181,8,FALSE))</f>
        <v>HM</v>
      </c>
      <c r="L70" s="52" t="str">
        <f>IF(F70="","",VLOOKUP(F70,'SELECT KELAS GASAL'!C$8:N$181,10,FALSE))</f>
        <v>-</v>
      </c>
      <c r="M70" s="52" t="str">
        <f>IF(F70="","",VLOOKUP(F70,'SELECT KELAS GASAL'!C$8:N$181,6,FALSE))</f>
        <v>A</v>
      </c>
      <c r="N70" s="52">
        <f>IF(F70="","",VLOOKUP(F70,'SELECT KELAS GASAL'!C$8:N$181,4,FALSE))</f>
        <v>5</v>
      </c>
      <c r="O70" s="52">
        <f>IF(F70="","",VLOOKUP(F70,'SELECT KELAS GASAL'!C$8:N$181,5,FALSE))</f>
        <v>3</v>
      </c>
      <c r="P70" s="52">
        <f>IF(F70="","",VLOOKUP(F70,'SELECT KELAS GASAL'!C$8:X$181,22,FALSE))</f>
        <v>20</v>
      </c>
      <c r="Q70" s="98" t="str">
        <f>IF(F70="","",VLOOKUP(F70,'SELECT KELAS GASAL'!C$8:N$181,11,FALSE))</f>
        <v>Hafiz Muhardi, S.T., M.Kom</v>
      </c>
      <c r="R70" s="52" t="s">
        <v>173</v>
      </c>
    </row>
    <row r="71" spans="2:18" ht="34.950000000000003" customHeight="1" x14ac:dyDescent="0.3">
      <c r="B71" s="272"/>
      <c r="C71" s="51">
        <v>0.61458333333333337</v>
      </c>
      <c r="D71" s="51" t="str">
        <f t="shared" si="1"/>
        <v>s/d</v>
      </c>
      <c r="E71" s="51">
        <f t="shared" si="4"/>
        <v>0.71875</v>
      </c>
      <c r="F71" s="101" t="s">
        <v>316</v>
      </c>
      <c r="G71" s="115" t="s">
        <v>394</v>
      </c>
      <c r="H71" s="52" t="str">
        <f>IF(F71="","",VLOOKUP(F71,'SELECT KELAS GASAL'!C$8:N$181,2,FALSE))</f>
        <v>INF-55201-204</v>
      </c>
      <c r="I71" s="98" t="str">
        <f>IF(F71="","",VLOOKUP(F71,'SELECT KELAS GASAL'!C$8:N$181,3,FALSE))</f>
        <v>Metode  Numerik*</v>
      </c>
      <c r="J71" s="52" t="str">
        <f>IF(F71="","",VLOOKUP(F71,'SELECT KELAS GASAL'!C$8:N$181,12,FALSE))</f>
        <v>HSP</v>
      </c>
      <c r="K71" s="52" t="str">
        <f>IF(F71="","",VLOOKUP(F71,'SELECT KELAS GASAL'!C$8:N$181,8,FALSE))</f>
        <v>HSP</v>
      </c>
      <c r="L71" s="52" t="str">
        <f>IF(F71="","",VLOOKUP(F71,'SELECT KELAS GASAL'!C$8:N$181,10,FALSE))</f>
        <v>-</v>
      </c>
      <c r="M71" s="52" t="str">
        <f>IF(F71="","",VLOOKUP(F71,'SELECT KELAS GASAL'!C$8:N$181,6,FALSE))</f>
        <v>B</v>
      </c>
      <c r="N71" s="52">
        <f>IF(F71="","",VLOOKUP(F71,'SELECT KELAS GASAL'!C$8:N$181,4,FALSE))</f>
        <v>3</v>
      </c>
      <c r="O71" s="52">
        <f>IF(F71="","",VLOOKUP(F71,'SELECT KELAS GASAL'!C$8:N$181,5,FALSE))</f>
        <v>3</v>
      </c>
      <c r="P71" s="52">
        <f>IF(F71="","",VLOOKUP(F71,'SELECT KELAS GASAL'!C$8:X$181,22,FALSE))</f>
        <v>25</v>
      </c>
      <c r="Q71" s="98" t="str">
        <f>IF(F71="","",VLOOKUP(F71,'SELECT KELAS GASAL'!C$8:N$181,11,FALSE))</f>
        <v>Helen Sastypratiwi, S.T., M.Eng</v>
      </c>
      <c r="R71" s="52" t="s">
        <v>173</v>
      </c>
    </row>
    <row r="72" spans="2:18" ht="34.950000000000003" customHeight="1" x14ac:dyDescent="0.3">
      <c r="B72" s="272"/>
      <c r="C72" s="51">
        <v>0.61458333333333337</v>
      </c>
      <c r="D72" s="51" t="str">
        <f t="shared" ref="D72:D124" si="5">IF(C72="","","s/d")</f>
        <v>s/d</v>
      </c>
      <c r="E72" s="51">
        <f t="shared" si="4"/>
        <v>0.71875</v>
      </c>
      <c r="F72" s="101" t="s">
        <v>407</v>
      </c>
      <c r="G72" s="115" t="s">
        <v>394</v>
      </c>
      <c r="H72" s="52" t="str">
        <f>IF(F72="","",VLOOKUP(F72,'SELECT KELAS GASAL'!C$8:N$181,2,FALSE))</f>
        <v>INF-55201-207</v>
      </c>
      <c r="I72" s="98" t="str">
        <f>IF(F72="","",VLOOKUP(F72,'SELECT KELAS GASAL'!C$8:N$181,3,FALSE))</f>
        <v>Sistem Operasi*</v>
      </c>
      <c r="J72" s="52" t="str">
        <f>IF(F72="","",VLOOKUP(F72,'SELECT KELAS GASAL'!C$8:N$181,12,FALSE))</f>
        <v>HLN / DIU</v>
      </c>
      <c r="K72" s="52" t="str">
        <f>IF(F72="","",VLOOKUP(F72,'SELECT KELAS GASAL'!C$8:N$181,8,FALSE))</f>
        <v>HLN</v>
      </c>
      <c r="L72" s="52" t="str">
        <f>IF(F72="","",VLOOKUP(F72,'SELECT KELAS GASAL'!C$8:N$181,10,FALSE))</f>
        <v>DIU</v>
      </c>
      <c r="M72" s="52" t="str">
        <f>IF(F72="","",VLOOKUP(F72,'SELECT KELAS GASAL'!C$8:N$181,6,FALSE))</f>
        <v>C</v>
      </c>
      <c r="N72" s="52">
        <f>IF(F72="","",VLOOKUP(F72,'SELECT KELAS GASAL'!C$8:N$181,4,FALSE))</f>
        <v>3</v>
      </c>
      <c r="O72" s="52">
        <f>IF(F72="","",VLOOKUP(F72,'SELECT KELAS GASAL'!C$8:N$181,5,FALSE))</f>
        <v>3</v>
      </c>
      <c r="P72" s="52">
        <f>IF(F72="","",VLOOKUP(F72,'SELECT KELAS GASAL'!C$8:X$181,22,FALSE))</f>
        <v>20</v>
      </c>
      <c r="Q72" s="98" t="str">
        <f>IF(F72="","",VLOOKUP(F72,'SELECT KELAS GASAL'!C$8:N$181,11,FALSE))</f>
        <v>Helfi Nasution, S.Kom, M.Cs / Desepta Isna Ulumi, S.Kom, M.Kom.</v>
      </c>
      <c r="R72" s="52" t="s">
        <v>173</v>
      </c>
    </row>
    <row r="73" spans="2:18" ht="34.950000000000003" customHeight="1" x14ac:dyDescent="0.3">
      <c r="B73" s="272"/>
      <c r="C73" s="51">
        <v>0.61458333333333337</v>
      </c>
      <c r="D73" s="51" t="str">
        <f t="shared" si="5"/>
        <v>s/d</v>
      </c>
      <c r="E73" s="51">
        <f t="shared" si="4"/>
        <v>0.71875</v>
      </c>
      <c r="F73" s="101" t="s">
        <v>377</v>
      </c>
      <c r="G73" s="115" t="s">
        <v>394</v>
      </c>
      <c r="H73" s="52" t="str">
        <f>IF(F73="","",VLOOKUP(F73,'SELECT KELAS GASAL'!C$8:N$181,2,FALSE))</f>
        <v>INF-55201-101</v>
      </c>
      <c r="I73" s="98" t="str">
        <f>IF(F73="","",VLOOKUP(F73,'SELECT KELAS GASAL'!C$8:N$181,3,FALSE))</f>
        <v>Matematika  Dasar I</v>
      </c>
      <c r="J73" s="52" t="str">
        <f>IF(F73="","",VLOOKUP(F73,'SELECT KELAS GASAL'!C$8:N$181,12,FALSE))</f>
        <v>RS / NC</v>
      </c>
      <c r="K73" s="52" t="str">
        <f>IF(F73="","",VLOOKUP(F73,'SELECT KELAS GASAL'!C$8:N$181,8,FALSE))</f>
        <v>RS</v>
      </c>
      <c r="L73" s="52" t="str">
        <f>IF(F73="","",VLOOKUP(F73,'SELECT KELAS GASAL'!C$8:N$181,10,FALSE))</f>
        <v>NC</v>
      </c>
      <c r="M73" s="52" t="str">
        <f>IF(F73="","",VLOOKUP(F73,'SELECT KELAS GASAL'!C$8:N$181,6,FALSE))</f>
        <v>D</v>
      </c>
      <c r="N73" s="52">
        <f>IF(F73="","",VLOOKUP(F73,'SELECT KELAS GASAL'!C$8:N$181,4,FALSE))</f>
        <v>1</v>
      </c>
      <c r="O73" s="52">
        <f>IF(F73="","",VLOOKUP(F73,'SELECT KELAS GASAL'!C$8:N$181,5,FALSE))</f>
        <v>3</v>
      </c>
      <c r="P73" s="52">
        <f>IF(F73="","",VLOOKUP(F73,'SELECT KELAS GASAL'!C$8:X$181,22,FALSE))</f>
        <v>25</v>
      </c>
      <c r="Q73" s="98" t="str">
        <f>IF(F73="","",VLOOKUP(F73,'SELECT KELAS GASAL'!C$8:N$181,11,FALSE))</f>
        <v>Rina Septiriana, S.T., M.Cs. / Niken Candraningrum, S.T., M.Cs.</v>
      </c>
      <c r="R73" s="52" t="s">
        <v>173</v>
      </c>
    </row>
    <row r="74" spans="2:18" ht="34.950000000000003" customHeight="1" x14ac:dyDescent="0.3">
      <c r="B74" s="272"/>
      <c r="C74" s="51">
        <v>0.61458333333333337</v>
      </c>
      <c r="D74" s="51" t="str">
        <f t="shared" si="5"/>
        <v>s/d</v>
      </c>
      <c r="E74" s="51">
        <f t="shared" si="4"/>
        <v>0.71875</v>
      </c>
      <c r="F74" s="101" t="s">
        <v>382</v>
      </c>
      <c r="G74" s="115" t="s">
        <v>394</v>
      </c>
      <c r="H74" s="52" t="str">
        <f>IF(F74="","",VLOOKUP(F74,'SELECT KELAS GASAL'!C$8:N$181,2,FALSE))</f>
        <v>INF­55201­523</v>
      </c>
      <c r="I74" s="98" t="str">
        <f>IF(F74="","",VLOOKUP(F74,'SELECT KELAS GASAL'!C$8:N$181,3,FALSE))</f>
        <v xml:space="preserve">Komputasi  Awan  </v>
      </c>
      <c r="J74" s="52" t="str">
        <f>IF(F74="","",VLOOKUP(F74,'SELECT KELAS GASAL'!C$8:N$181,12,FALSE))</f>
        <v>AS</v>
      </c>
      <c r="K74" s="52" t="str">
        <f>IF(F74="","",VLOOKUP(F74,'SELECT KELAS GASAL'!C$8:N$181,8,FALSE))</f>
        <v>AS</v>
      </c>
      <c r="L74" s="52" t="str">
        <f>IF(F74="","",VLOOKUP(F74,'SELECT KELAS GASAL'!C$8:N$181,10,FALSE))</f>
        <v>-</v>
      </c>
      <c r="M74" s="52" t="str">
        <f>IF(F74="","",VLOOKUP(F74,'SELECT KELAS GASAL'!C$8:N$181,6,FALSE))</f>
        <v>B</v>
      </c>
      <c r="N74" s="52">
        <f>IF(F74="","",VLOOKUP(F74,'SELECT KELAS GASAL'!C$8:N$181,4,FALSE))</f>
        <v>7</v>
      </c>
      <c r="O74" s="52">
        <f>IF(F74="","",VLOOKUP(F74,'SELECT KELAS GASAL'!C$8:N$181,5,FALSE))</f>
        <v>3</v>
      </c>
      <c r="P74" s="52">
        <f>IF(F74="","",VLOOKUP(F74,'SELECT KELAS GASAL'!C$8:X$181,22,FALSE))</f>
        <v>20</v>
      </c>
      <c r="Q74" s="98" t="str">
        <f>IF(F74="","",VLOOKUP(F74,'SELECT KELAS GASAL'!C$8:N$181,11,FALSE))</f>
        <v>Anggi Srimurdianti, S.T., M.T.</v>
      </c>
      <c r="R74" s="52" t="s">
        <v>173</v>
      </c>
    </row>
    <row r="75" spans="2:18" ht="34.950000000000003" customHeight="1" x14ac:dyDescent="0.3">
      <c r="B75" s="122"/>
      <c r="C75" s="116"/>
      <c r="D75" s="116" t="str">
        <f t="shared" si="5"/>
        <v/>
      </c>
      <c r="E75" s="116"/>
      <c r="F75" s="117"/>
      <c r="G75" s="118" t="s">
        <v>394</v>
      </c>
      <c r="H75" s="119"/>
      <c r="I75" s="120"/>
      <c r="J75" s="119"/>
      <c r="K75" s="119" t="str">
        <f>IF(F75="","",VLOOKUP(F75,'SELECT KELAS GASAL'!C$8:N$181,8,FALSE))</f>
        <v/>
      </c>
      <c r="L75" s="119" t="str">
        <f>IF(F75="","",VLOOKUP(F75,'SELECT KELAS GASAL'!C$8:N$181,10,FALSE))</f>
        <v/>
      </c>
      <c r="M75" s="119"/>
      <c r="N75" s="119"/>
      <c r="O75" s="119"/>
      <c r="P75" s="52" t="str">
        <f>IF(F75="","",VLOOKUP(F75,'SELECT KELAS GASAL'!C$8:X$181,22,FALSE))</f>
        <v/>
      </c>
      <c r="Q75" s="120" t="str">
        <f>IF(F75="","",VLOOKUP(F75,'SELECT KELAS GASAL'!C$8:N$181,11,FALSE))</f>
        <v/>
      </c>
      <c r="R75" s="119"/>
    </row>
    <row r="76" spans="2:18" ht="34.950000000000003" customHeight="1" x14ac:dyDescent="0.3">
      <c r="B76" s="272" t="s">
        <v>328</v>
      </c>
      <c r="C76" s="51">
        <v>0.3125</v>
      </c>
      <c r="D76" s="51" t="str">
        <f t="shared" si="5"/>
        <v>s/d</v>
      </c>
      <c r="E76" s="51">
        <f t="shared" ref="E76:E124" si="6">IF(O76="","",(IF(O76=4,C76+TIME(0,2*50,0),C76+TIME(0,O76*50,0))))</f>
        <v>0.41666666666666669</v>
      </c>
      <c r="F76" s="101" t="s">
        <v>315</v>
      </c>
      <c r="G76" s="115" t="s">
        <v>394</v>
      </c>
      <c r="H76" s="52" t="str">
        <f>IF(F76="","",VLOOKUP(F76,'SELECT KELAS GASAL'!C$8:N$181,2,FALSE))</f>
        <v>INF-55201-204</v>
      </c>
      <c r="I76" s="98" t="str">
        <f>IF(F76="","",VLOOKUP(F76,'SELECT KELAS GASAL'!C$8:N$181,3,FALSE))</f>
        <v>Metode  Numerik*</v>
      </c>
      <c r="J76" s="52" t="str">
        <f>IF(F76="","",VLOOKUP(F76,'SELECT KELAS GASAL'!C$8:N$181,12,FALSE))</f>
        <v>HSP</v>
      </c>
      <c r="K76" s="52" t="str">
        <f>IF(F76="","",VLOOKUP(F76,'SELECT KELAS GASAL'!C$8:N$181,8,FALSE))</f>
        <v>HSP</v>
      </c>
      <c r="L76" s="52" t="str">
        <f>IF(F76="","",VLOOKUP(F76,'SELECT KELAS GASAL'!C$8:N$181,10,FALSE))</f>
        <v>-</v>
      </c>
      <c r="M76" s="52" t="str">
        <f>IF(F76="","",VLOOKUP(F76,'SELECT KELAS GASAL'!C$8:N$181,6,FALSE))</f>
        <v>A</v>
      </c>
      <c r="N76" s="52">
        <f>IF(F76="","",VLOOKUP(F76,'SELECT KELAS GASAL'!C$8:N$181,4,FALSE))</f>
        <v>3</v>
      </c>
      <c r="O76" s="52">
        <f>IF(F76="","",VLOOKUP(F76,'SELECT KELAS GASAL'!C$8:N$181,5,FALSE))</f>
        <v>3</v>
      </c>
      <c r="P76" s="52">
        <f>IF(F76="","",VLOOKUP(F76,'SELECT KELAS GASAL'!C$8:X$181,22,FALSE))</f>
        <v>25</v>
      </c>
      <c r="Q76" s="98" t="str">
        <f>IF(F76="","",VLOOKUP(F76,'SELECT KELAS GASAL'!C$8:N$181,11,FALSE))</f>
        <v>Helen Sastypratiwi, S.T., M.Eng</v>
      </c>
      <c r="R76" s="52" t="s">
        <v>173</v>
      </c>
    </row>
    <row r="77" spans="2:18" ht="34.950000000000003" customHeight="1" x14ac:dyDescent="0.3">
      <c r="B77" s="272"/>
      <c r="C77" s="51">
        <v>0.3125</v>
      </c>
      <c r="D77" s="51" t="str">
        <f t="shared" si="5"/>
        <v>s/d</v>
      </c>
      <c r="E77" s="51">
        <f t="shared" si="6"/>
        <v>0.41666666666666669</v>
      </c>
      <c r="F77" s="101" t="s">
        <v>395</v>
      </c>
      <c r="G77" s="115" t="s">
        <v>394</v>
      </c>
      <c r="H77" s="52" t="str">
        <f>IF(F77="","",VLOOKUP(F77,'SELECT KELAS GASAL'!C$8:N$181,2,FALSE))</f>
        <v>INF-55201-401</v>
      </c>
      <c r="I77" s="98" t="str">
        <f>IF(F77="","",VLOOKUP(F77,'SELECT KELAS GASAL'!C$8:N$181,3,FALSE))</f>
        <v>Teknopreneur*</v>
      </c>
      <c r="J77" s="52" t="str">
        <f>IF(F77="","",VLOOKUP(F77,'SELECT KELAS GASAL'!C$8:N$181,12,FALSE))</f>
        <v>EE</v>
      </c>
      <c r="K77" s="52" t="str">
        <f>IF(F77="","",VLOOKUP(F77,'SELECT KELAS GASAL'!C$8:N$181,8,FALSE))</f>
        <v>EE</v>
      </c>
      <c r="L77" s="52" t="str">
        <f>IF(F77="","",VLOOKUP(F77,'SELECT KELAS GASAL'!C$8:N$181,10,FALSE))</f>
        <v>-</v>
      </c>
      <c r="M77" s="52" t="str">
        <f>IF(F77="","",VLOOKUP(F77,'SELECT KELAS GASAL'!C$8:N$181,6,FALSE))</f>
        <v>D</v>
      </c>
      <c r="N77" s="52">
        <f>IF(F77="","",VLOOKUP(F77,'SELECT KELAS GASAL'!C$8:N$181,4,FALSE))</f>
        <v>7</v>
      </c>
      <c r="O77" s="52">
        <f>IF(F77="","",VLOOKUP(F77,'SELECT KELAS GASAL'!C$8:N$181,5,FALSE))</f>
        <v>3</v>
      </c>
      <c r="P77" s="52">
        <f>IF(F77="","",VLOOKUP(F77,'SELECT KELAS GASAL'!C$8:X$181,22,FALSE))</f>
        <v>20</v>
      </c>
      <c r="Q77" s="98" t="str">
        <f>IF(F77="","",VLOOKUP(F77,'SELECT KELAS GASAL'!C$8:N$181,11,FALSE))</f>
        <v>Enda Esyudha Pratama, S.T., M.T.</v>
      </c>
      <c r="R77" s="52" t="s">
        <v>173</v>
      </c>
    </row>
    <row r="78" spans="2:18" ht="34.950000000000003" customHeight="1" x14ac:dyDescent="0.3">
      <c r="B78" s="272"/>
      <c r="C78" s="51">
        <v>0.3125</v>
      </c>
      <c r="D78" s="51" t="str">
        <f t="shared" si="5"/>
        <v>s/d</v>
      </c>
      <c r="E78" s="51">
        <f t="shared" si="6"/>
        <v>0.41666666666666669</v>
      </c>
      <c r="F78" s="101" t="s">
        <v>357</v>
      </c>
      <c r="G78" s="115" t="s">
        <v>394</v>
      </c>
      <c r="H78" s="52" t="str">
        <f>IF(F78="","",VLOOKUP(F78,'SELECT KELAS GASAL'!C$8:N$181,2,FALSE))</f>
        <v>INF-55201-305</v>
      </c>
      <c r="I78" s="98" t="str">
        <f>IF(F78="","",VLOOKUP(F78,'SELECT KELAS GASAL'!C$8:N$181,3,FALSE))</f>
        <v>Kecerdasan Buatan</v>
      </c>
      <c r="J78" s="52" t="str">
        <f>IF(F78="","",VLOOKUP(F78,'SELECT KELAS GASAL'!C$8:N$181,12,FALSE))</f>
        <v>TR / RS</v>
      </c>
      <c r="K78" s="52" t="str">
        <f>IF(F78="","",VLOOKUP(F78,'SELECT KELAS GASAL'!C$8:N$181,8,FALSE))</f>
        <v>TR</v>
      </c>
      <c r="L78" s="52" t="str">
        <f>IF(F78="","",VLOOKUP(F78,'SELECT KELAS GASAL'!C$8:N$181,10,FALSE))</f>
        <v>RS</v>
      </c>
      <c r="M78" s="52" t="str">
        <f>IF(F78="","",VLOOKUP(F78,'SELECT KELAS GASAL'!C$8:N$181,6,FALSE))</f>
        <v>B</v>
      </c>
      <c r="N78" s="52">
        <f>IF(F78="","",VLOOKUP(F78,'SELECT KELAS GASAL'!C$8:N$181,4,FALSE))</f>
        <v>5</v>
      </c>
      <c r="O78" s="52">
        <f>IF(F78="","",VLOOKUP(F78,'SELECT KELAS GASAL'!C$8:N$181,5,FALSE))</f>
        <v>3</v>
      </c>
      <c r="P78" s="52">
        <f>IF(F78="","",VLOOKUP(F78,'SELECT KELAS GASAL'!C$8:X$181,22,FALSE))</f>
        <v>20</v>
      </c>
      <c r="Q78" s="98" t="str">
        <f>IF(F78="","",VLOOKUP(F78,'SELECT KELAS GASAL'!C$8:N$181,11,FALSE))</f>
        <v>Tursina ST, M.Cs / Rina Septiriana, S.T., M.Cs.</v>
      </c>
      <c r="R78" s="52" t="s">
        <v>173</v>
      </c>
    </row>
    <row r="79" spans="2:18" ht="34.950000000000003" customHeight="1" x14ac:dyDescent="0.3">
      <c r="B79" s="272"/>
      <c r="C79" s="51">
        <v>0.3125</v>
      </c>
      <c r="D79" s="51" t="str">
        <f t="shared" si="5"/>
        <v>s/d</v>
      </c>
      <c r="E79" s="51">
        <f t="shared" si="6"/>
        <v>0.41666666666666669</v>
      </c>
      <c r="F79" s="101" t="s">
        <v>319</v>
      </c>
      <c r="G79" s="115" t="s">
        <v>394</v>
      </c>
      <c r="H79" s="52" t="str">
        <f>IF(F79="","",VLOOKUP(F79,'SELECT KELAS GASAL'!C$8:N$181,2,FALSE))</f>
        <v>INF-55201-304</v>
      </c>
      <c r="I79" s="98" t="str">
        <f>IF(F79="","",VLOOKUP(F79,'SELECT KELAS GASAL'!C$8:N$181,3,FALSE))</f>
        <v>Sistem Tertanam*</v>
      </c>
      <c r="J79" s="52" t="str">
        <f>IF(F79="","",VLOOKUP(F79,'SELECT KELAS GASAL'!C$8:N$181,12,FALSE))</f>
        <v>HM</v>
      </c>
      <c r="K79" s="52" t="str">
        <f>IF(F79="","",VLOOKUP(F79,'SELECT KELAS GASAL'!C$8:N$181,8,FALSE))</f>
        <v>HM</v>
      </c>
      <c r="L79" s="52" t="str">
        <f>IF(F79="","",VLOOKUP(F79,'SELECT KELAS GASAL'!C$8:N$181,10,FALSE))</f>
        <v>-</v>
      </c>
      <c r="M79" s="52" t="str">
        <f>IF(F79="","",VLOOKUP(F79,'SELECT KELAS GASAL'!C$8:N$181,6,FALSE))</f>
        <v>C</v>
      </c>
      <c r="N79" s="52">
        <f>IF(F79="","",VLOOKUP(F79,'SELECT KELAS GASAL'!C$8:N$181,4,FALSE))</f>
        <v>5</v>
      </c>
      <c r="O79" s="52">
        <f>IF(F79="","",VLOOKUP(F79,'SELECT KELAS GASAL'!C$8:N$181,5,FALSE))</f>
        <v>3</v>
      </c>
      <c r="P79" s="52">
        <f>IF(F79="","",VLOOKUP(F79,'SELECT KELAS GASAL'!C$8:X$181,22,FALSE))</f>
        <v>20</v>
      </c>
      <c r="Q79" s="98" t="str">
        <f>IF(F79="","",VLOOKUP(F79,'SELECT KELAS GASAL'!C$8:N$181,11,FALSE))</f>
        <v>Hafiz Muhardi, S.T., M.Kom</v>
      </c>
      <c r="R79" s="52" t="s">
        <v>173</v>
      </c>
    </row>
    <row r="80" spans="2:18" ht="34.799999999999997" customHeight="1" x14ac:dyDescent="0.3">
      <c r="B80" s="272"/>
      <c r="C80" s="51">
        <v>0.3125</v>
      </c>
      <c r="D80" s="51" t="str">
        <f t="shared" si="5"/>
        <v>s/d</v>
      </c>
      <c r="E80" s="51">
        <f t="shared" si="6"/>
        <v>0.41666666666666669</v>
      </c>
      <c r="F80" s="101" t="s">
        <v>365</v>
      </c>
      <c r="G80" s="115" t="s">
        <v>394</v>
      </c>
      <c r="H80" s="52" t="str">
        <f>IF(F80="","",VLOOKUP(F80,'SELECT KELAS GASAL'!C$8:N$181,2,FALSE))</f>
        <v>INF­55201­533</v>
      </c>
      <c r="I80" s="98" t="str">
        <f>IF(F80="","",VLOOKUP(F80,'SELECT KELAS GASAL'!C$8:N$181,3,FALSE))</f>
        <v>Sistem  Informasi  Geografis II</v>
      </c>
      <c r="J80" s="52" t="str">
        <f>IF(F80="","",VLOOKUP(F80,'SELECT KELAS GASAL'!C$8:N$181,12,FALSE))</f>
        <v>YS / AI</v>
      </c>
      <c r="K80" s="52" t="str">
        <f>IF(F80="","",VLOOKUP(F80,'SELECT KELAS GASAL'!C$8:N$181,8,FALSE))</f>
        <v>YS</v>
      </c>
      <c r="L80" s="52" t="str">
        <f>IF(F80="","",VLOOKUP(F80,'SELECT KELAS GASAL'!C$8:N$181,10,FALSE))</f>
        <v>AI</v>
      </c>
      <c r="M80" s="52" t="str">
        <f>IF(F80="","",VLOOKUP(F80,'SELECT KELAS GASAL'!C$8:N$181,6,FALSE))</f>
        <v>A</v>
      </c>
      <c r="N80" s="52">
        <f>IF(F80="","",VLOOKUP(F80,'SELECT KELAS GASAL'!C$8:N$181,4,FALSE))</f>
        <v>7</v>
      </c>
      <c r="O80" s="52">
        <f>IF(F80="","",VLOOKUP(F80,'SELECT KELAS GASAL'!C$8:N$181,5,FALSE))</f>
        <v>3</v>
      </c>
      <c r="P80" s="52">
        <f>IF(F80="","",VLOOKUP(F80,'SELECT KELAS GASAL'!C$8:X$181,22,FALSE))</f>
        <v>20</v>
      </c>
      <c r="Q80" s="98" t="str">
        <f>IF(F80="","",VLOOKUP(F80,'SELECT KELAS GASAL'!C$8:N$181,11,FALSE))</f>
        <v>Dr. Yus Sholva, S.T., M.T. / M.Azhar Irwansyah, S.T.,M.Eng.</v>
      </c>
      <c r="R80" s="52" t="s">
        <v>173</v>
      </c>
    </row>
    <row r="81" spans="2:18" ht="34.799999999999997" customHeight="1" x14ac:dyDescent="0.3">
      <c r="B81" s="272"/>
      <c r="C81" s="51">
        <v>0.3125</v>
      </c>
      <c r="D81" s="51" t="str">
        <f t="shared" si="5"/>
        <v>s/d</v>
      </c>
      <c r="E81" s="51">
        <f t="shared" si="6"/>
        <v>0.41666666666666669</v>
      </c>
      <c r="F81" s="101" t="s">
        <v>409</v>
      </c>
      <c r="G81" s="115"/>
      <c r="H81" s="52" t="str">
        <f>IF(F81="","",VLOOKUP(F81,'SELECT KELAS GASAL'!C$8:N$181,2,FALSE))</f>
        <v>INF-55201-207</v>
      </c>
      <c r="I81" s="98" t="str">
        <f>IF(F81="","",VLOOKUP(F81,'SELECT KELAS GASAL'!C$8:N$181,3,FALSE))</f>
        <v>Sistem Operasi*</v>
      </c>
      <c r="J81" s="52" t="str">
        <f>IF(F81="","",VLOOKUP(F81,'SELECT KELAS GASAL'!C$8:N$181,12,FALSE))</f>
        <v>HLN / DIU</v>
      </c>
      <c r="K81" s="52" t="str">
        <f>IF(F81="","",VLOOKUP(F81,'SELECT KELAS GASAL'!C$8:N$181,8,FALSE))</f>
        <v>HLN</v>
      </c>
      <c r="L81" s="52" t="str">
        <f>IF(F81="","",VLOOKUP(F81,'SELECT KELAS GASAL'!C$8:N$181,10,FALSE))</f>
        <v>DIU</v>
      </c>
      <c r="M81" s="52" t="str">
        <f>IF(F81="","",VLOOKUP(F81,'SELECT KELAS GASAL'!C$8:N$181,6,FALSE))</f>
        <v>D</v>
      </c>
      <c r="N81" s="52">
        <f>IF(F81="","",VLOOKUP(F81,'SELECT KELAS GASAL'!C$8:N$181,4,FALSE))</f>
        <v>3</v>
      </c>
      <c r="O81" s="52">
        <f>IF(F81="","",VLOOKUP(F81,'SELECT KELAS GASAL'!C$8:N$181,5,FALSE))</f>
        <v>3</v>
      </c>
      <c r="P81" s="52">
        <f>IF(F81="","",VLOOKUP(F81,'SELECT KELAS GASAL'!C$8:X$181,22,FALSE))</f>
        <v>20</v>
      </c>
      <c r="Q81" s="98" t="str">
        <f>IF(F81="","",VLOOKUP(F81,'SELECT KELAS GASAL'!C$8:N$181,11,FALSE))</f>
        <v>Helfi Nasution, S.Kom, M.Cs / Desepta Isna Ulumi, S.Kom, M.Kom.</v>
      </c>
      <c r="R81" s="52" t="s">
        <v>173</v>
      </c>
    </row>
    <row r="82" spans="2:18" ht="34.950000000000003" customHeight="1" x14ac:dyDescent="0.3">
      <c r="B82" s="272"/>
      <c r="C82" s="51"/>
      <c r="D82" s="51" t="str">
        <f t="shared" si="5"/>
        <v/>
      </c>
      <c r="E82" s="51" t="str">
        <f t="shared" si="6"/>
        <v/>
      </c>
      <c r="F82" s="101"/>
      <c r="G82" s="115" t="s">
        <v>394</v>
      </c>
      <c r="H82" s="52" t="str">
        <f>IF(F82="","",VLOOKUP(F82,'SELECT KELAS GASAL'!C$8:N$181,2,FALSE))</f>
        <v/>
      </c>
      <c r="I82" s="98" t="str">
        <f>IF(F82="","",VLOOKUP(F82,'SELECT KELAS GASAL'!C$8:N$181,3,FALSE))</f>
        <v/>
      </c>
      <c r="J82" s="52" t="str">
        <f>IF(F82="","",VLOOKUP(F82,'SELECT KELAS GASAL'!C$8:N$181,12,FALSE))</f>
        <v/>
      </c>
      <c r="K82" s="52" t="str">
        <f>IF(F82="","",VLOOKUP(F82,'SELECT KELAS GASAL'!C$8:N$181,8,FALSE))</f>
        <v/>
      </c>
      <c r="L82" s="52" t="str">
        <f>IF(F82="","",VLOOKUP(F82,'SELECT KELAS GASAL'!C$8:N$181,10,FALSE))</f>
        <v/>
      </c>
      <c r="M82" s="52" t="str">
        <f>IF(F82="","",VLOOKUP(F82,'SELECT KELAS GASAL'!C$8:N$181,6,FALSE))</f>
        <v/>
      </c>
      <c r="N82" s="52" t="str">
        <f>IF(F82="","",VLOOKUP(F82,'SELECT KELAS GASAL'!C$8:N$181,4,FALSE))</f>
        <v/>
      </c>
      <c r="O82" s="52" t="str">
        <f>IF(F82="","",VLOOKUP(F82,'SELECT KELAS GASAL'!C$8:N$181,5,FALSE))</f>
        <v/>
      </c>
      <c r="P82" s="52" t="str">
        <f>IF(F82="","",VLOOKUP(F82,'SELECT KELAS GASAL'!C$8:X$181,22,FALSE))</f>
        <v/>
      </c>
      <c r="Q82" s="98" t="str">
        <f>IF(F82="","",VLOOKUP(F82,'SELECT KELAS GASAL'!C$8:N$181,11,FALSE))</f>
        <v/>
      </c>
      <c r="R82" s="53"/>
    </row>
    <row r="83" spans="2:18" ht="34.950000000000003" customHeight="1" x14ac:dyDescent="0.3">
      <c r="B83" s="272"/>
      <c r="C83" s="51">
        <v>0.4236111111111111</v>
      </c>
      <c r="D83" s="51" t="str">
        <f t="shared" si="5"/>
        <v>s/d</v>
      </c>
      <c r="E83" s="51">
        <f t="shared" si="6"/>
        <v>0.49305555555555558</v>
      </c>
      <c r="F83" s="101" t="s">
        <v>320</v>
      </c>
      <c r="G83" s="115" t="s">
        <v>394</v>
      </c>
      <c r="H83" s="52" t="str">
        <f>IF(F83="","",VLOOKUP(F83,'SELECT KELAS GASAL'!C$8:N$181,2,FALSE))</f>
        <v>INF-55201-103</v>
      </c>
      <c r="I83" s="98" t="str">
        <f>IF(F83="","",VLOOKUP(F83,'SELECT KELAS GASAL'!C$8:N$181,3,FALSE))</f>
        <v>Dasar  Pemrograman*</v>
      </c>
      <c r="J83" s="52" t="str">
        <f>IF(F83="","",VLOOKUP(F83,'SELECT KELAS GASAL'!C$8:N$181,12,FALSE))</f>
        <v>ABP</v>
      </c>
      <c r="K83" s="52" t="str">
        <f>IF(F83="","",VLOOKUP(F83,'SELECT KELAS GASAL'!C$8:N$181,8,FALSE))</f>
        <v>ABP</v>
      </c>
      <c r="L83" s="52" t="str">
        <f>IF(F83="","",VLOOKUP(F83,'SELECT KELAS GASAL'!C$8:N$181,10,FALSE))</f>
        <v>-</v>
      </c>
      <c r="M83" s="52" t="str">
        <f>IF(F83="","",VLOOKUP(F83,'SELECT KELAS GASAL'!C$8:N$181,6,FALSE))</f>
        <v>A</v>
      </c>
      <c r="N83" s="52">
        <f>IF(F83="","",VLOOKUP(F83,'SELECT KELAS GASAL'!C$8:N$181,4,FALSE))</f>
        <v>1</v>
      </c>
      <c r="O83" s="52">
        <f>IF(F83="","",VLOOKUP(F83,'SELECT KELAS GASAL'!C$8:N$181,5,FALSE))</f>
        <v>4</v>
      </c>
      <c r="P83" s="52">
        <f>IF(F83="","",VLOOKUP(F83,'SELECT KELAS GASAL'!C$8:X$181,22,FALSE))</f>
        <v>35</v>
      </c>
      <c r="Q83" s="98" t="str">
        <f>IF(F83="","",VLOOKUP(F83,'SELECT KELAS GASAL'!C$8:N$181,11,FALSE))</f>
        <v>Dr. Arif BPN, S.T., M.T.</v>
      </c>
      <c r="R83" s="52" t="s">
        <v>173</v>
      </c>
    </row>
    <row r="84" spans="2:18" ht="34.950000000000003" customHeight="1" x14ac:dyDescent="0.3">
      <c r="B84" s="272"/>
      <c r="C84" s="51">
        <v>0.4236111111111111</v>
      </c>
      <c r="D84" s="51" t="str">
        <f t="shared" si="5"/>
        <v>s/d</v>
      </c>
      <c r="E84" s="51">
        <f t="shared" si="6"/>
        <v>0.49305555555555558</v>
      </c>
      <c r="F84" s="101" t="s">
        <v>408</v>
      </c>
      <c r="G84" s="115" t="s">
        <v>394</v>
      </c>
      <c r="H84" s="52" t="str">
        <f>IF(F84="","",VLOOKUP(F84,'SELECT KELAS GASAL'!C$8:N$181,2,FALSE))</f>
        <v>INF-55201-205</v>
      </c>
      <c r="I84" s="98" t="str">
        <f>IF(F84="","",VLOOKUP(F84,'SELECT KELAS GASAL'!C$8:N$181,3,FALSE))</f>
        <v>Jaringan  Komputer *</v>
      </c>
      <c r="J84" s="52" t="str">
        <f>IF(F84="","",VLOOKUP(F84,'SELECT KELAS GASAL'!C$8:N$181,12,FALSE))</f>
        <v>AI / AAJ</v>
      </c>
      <c r="K84" s="52" t="str">
        <f>IF(F84="","",VLOOKUP(F84,'SELECT KELAS GASAL'!C$8:N$181,8,FALSE))</f>
        <v>AI</v>
      </c>
      <c r="L84" s="52" t="str">
        <f>IF(F84="","",VLOOKUP(F84,'SELECT KELAS GASAL'!C$8:N$181,10,FALSE))</f>
        <v>AAJ</v>
      </c>
      <c r="M84" s="52" t="str">
        <f>IF(F84="","",VLOOKUP(F84,'SELECT KELAS GASAL'!C$8:N$181,6,FALSE))</f>
        <v>B</v>
      </c>
      <c r="N84" s="52">
        <f>IF(F84="","",VLOOKUP(F84,'SELECT KELAS GASAL'!C$8:N$181,4,FALSE))</f>
        <v>3</v>
      </c>
      <c r="O84" s="52">
        <f>IF(F84="","",VLOOKUP(F84,'SELECT KELAS GASAL'!C$8:N$181,5,FALSE))</f>
        <v>4</v>
      </c>
      <c r="P84" s="52">
        <f>IF(F84="","",VLOOKUP(F84,'SELECT KELAS GASAL'!C$8:X$181,22,FALSE))</f>
        <v>25</v>
      </c>
      <c r="Q84" s="98" t="str">
        <f>IF(F84="","",VLOOKUP(F84,'SELECT KELAS GASAL'!C$8:N$181,11,FALSE))</f>
        <v>M.Azhar Irwansyah, S.T.,M.Eng. / Alfian Abdul Jalid, S.Kom., M.Cs.</v>
      </c>
      <c r="R84" s="52" t="s">
        <v>173</v>
      </c>
    </row>
    <row r="85" spans="2:18" ht="34.950000000000003" customHeight="1" x14ac:dyDescent="0.3">
      <c r="B85" s="272"/>
      <c r="C85" s="51">
        <v>0.4236111111111111</v>
      </c>
      <c r="D85" s="51" t="str">
        <f t="shared" si="5"/>
        <v>s/d</v>
      </c>
      <c r="E85" s="51">
        <f t="shared" si="6"/>
        <v>0.49305555555555558</v>
      </c>
      <c r="F85" s="101" t="s">
        <v>317</v>
      </c>
      <c r="G85" s="115" t="s">
        <v>394</v>
      </c>
      <c r="H85" s="52" t="str">
        <f>IF(F85="","",VLOOKUP(F85,'SELECT KELAS GASAL'!C$8:N$181,2,FALSE))</f>
        <v>INF-55201-206</v>
      </c>
      <c r="I85" s="98" t="str">
        <f>IF(F85="","",VLOOKUP(F85,'SELECT KELAS GASAL'!C$8:N$181,3,FALSE))</f>
        <v>Strategi Algoritma*</v>
      </c>
      <c r="J85" s="52" t="str">
        <f>IF(F85="","",VLOOKUP(F85,'SELECT KELAS GASAL'!C$8:N$181,12,FALSE))</f>
        <v>TZ</v>
      </c>
      <c r="K85" s="52" t="str">
        <f>IF(F85="","",VLOOKUP(F85,'SELECT KELAS GASAL'!C$8:N$181,8,FALSE))</f>
        <v>TZ</v>
      </c>
      <c r="L85" s="52" t="str">
        <f>IF(F85="","",VLOOKUP(F85,'SELECT KELAS GASAL'!C$8:N$181,10,FALSE))</f>
        <v>-</v>
      </c>
      <c r="M85" s="52" t="str">
        <f>IF(F85="","",VLOOKUP(F85,'SELECT KELAS GASAL'!C$8:N$181,6,FALSE))</f>
        <v>C</v>
      </c>
      <c r="N85" s="52">
        <f>IF(F85="","",VLOOKUP(F85,'SELECT KELAS GASAL'!C$8:N$181,4,FALSE))</f>
        <v>3</v>
      </c>
      <c r="O85" s="52">
        <f>IF(F85="","",VLOOKUP(F85,'SELECT KELAS GASAL'!C$8:N$181,5,FALSE))</f>
        <v>4</v>
      </c>
      <c r="P85" s="52">
        <f>IF(F85="","",VLOOKUP(F85,'SELECT KELAS GASAL'!C$8:X$181,22,FALSE))</f>
        <v>25</v>
      </c>
      <c r="Q85" s="98" t="str">
        <f>IF(F85="","",VLOOKUP(F85,'SELECT KELAS GASAL'!C$8:N$181,11,FALSE))</f>
        <v>Morteza Muthahhari, S.Kom., M.T.I</v>
      </c>
      <c r="R85" s="52" t="s">
        <v>173</v>
      </c>
    </row>
    <row r="86" spans="2:18" ht="34.950000000000003" customHeight="1" x14ac:dyDescent="0.3">
      <c r="B86" s="272"/>
      <c r="C86" s="51">
        <v>0.4236111111111111</v>
      </c>
      <c r="D86" s="51" t="str">
        <f t="shared" si="5"/>
        <v>s/d</v>
      </c>
      <c r="E86" s="51">
        <f t="shared" si="6"/>
        <v>0.49305555555555558</v>
      </c>
      <c r="F86" s="101" t="s">
        <v>366</v>
      </c>
      <c r="G86" s="115" t="s">
        <v>394</v>
      </c>
      <c r="H86" s="52" t="str">
        <f>IF(F86="","",VLOOKUP(F86,'SELECT KELAS GASAL'!C$8:N$181,2,FALSE))</f>
        <v>INF-55201-302</v>
      </c>
      <c r="I86" s="98" t="str">
        <f>IF(F86="","",VLOOKUP(F86,'SELECT KELAS GASAL'!C$8:N$181,3,FALSE))</f>
        <v>Pemrograman  Web *</v>
      </c>
      <c r="J86" s="52" t="str">
        <f>IF(F86="","",VLOOKUP(F86,'SELECT KELAS GASAL'!C$8:N$181,12,FALSE))</f>
        <v>EE / FA</v>
      </c>
      <c r="K86" s="52" t="str">
        <f>IF(F86="","",VLOOKUP(F86,'SELECT KELAS GASAL'!C$8:N$181,8,FALSE))</f>
        <v>EE</v>
      </c>
      <c r="L86" s="52" t="str">
        <f>IF(F86="","",VLOOKUP(F86,'SELECT KELAS GASAL'!C$8:N$181,10,FALSE))</f>
        <v>FA</v>
      </c>
      <c r="M86" s="52" t="str">
        <f>IF(F86="","",VLOOKUP(F86,'SELECT KELAS GASAL'!C$8:N$181,6,FALSE))</f>
        <v>A</v>
      </c>
      <c r="N86" s="52">
        <f>IF(F86="","",VLOOKUP(F86,'SELECT KELAS GASAL'!C$8:N$181,4,FALSE))</f>
        <v>5</v>
      </c>
      <c r="O86" s="52">
        <f>IF(F86="","",VLOOKUP(F86,'SELECT KELAS GASAL'!C$8:N$181,5,FALSE))</f>
        <v>4</v>
      </c>
      <c r="P86" s="52">
        <f>IF(F86="","",VLOOKUP(F86,'SELECT KELAS GASAL'!C$8:X$181,22,FALSE))</f>
        <v>25</v>
      </c>
      <c r="Q86" s="98" t="str">
        <f>IF(F86="","",VLOOKUP(F86,'SELECT KELAS GASAL'!C$8:N$181,11,FALSE))</f>
        <v>Enda Esyudha Pratama, S.T., M.T. / Fauzan Asrin, S.Kom, M. Kom.</v>
      </c>
      <c r="R86" s="52" t="s">
        <v>173</v>
      </c>
    </row>
    <row r="87" spans="2:18" ht="34.950000000000003" customHeight="1" x14ac:dyDescent="0.3">
      <c r="B87" s="272"/>
      <c r="C87" s="51">
        <v>0.4236111111111111</v>
      </c>
      <c r="D87" s="51" t="str">
        <f t="shared" si="5"/>
        <v>s/d</v>
      </c>
      <c r="E87" s="51">
        <f t="shared" si="6"/>
        <v>0.49305555555555558</v>
      </c>
      <c r="F87" s="101" t="s">
        <v>391</v>
      </c>
      <c r="G87" s="115" t="s">
        <v>394</v>
      </c>
      <c r="H87" s="52" t="str">
        <f>IF(F87="","",VLOOKUP(F87,'SELECT KELAS GASAL'!C$8:N$181,2,FALSE))</f>
        <v>INF-55201-306</v>
      </c>
      <c r="I87" s="98" t="str">
        <f>IF(F87="","",VLOOKUP(F87,'SELECT KELAS GASAL'!C$8:N$181,3,FALSE))</f>
        <v>Manajemen  Proyek  Perangkat  Lunak</v>
      </c>
      <c r="J87" s="52" t="str">
        <f>IF(F87="","",VLOOKUP(F87,'SELECT KELAS GASAL'!C$8:N$181,12,FALSE))</f>
        <v>AP / DIU</v>
      </c>
      <c r="K87" s="52" t="str">
        <f>IF(F87="","",VLOOKUP(F87,'SELECT KELAS GASAL'!C$8:N$181,8,FALSE))</f>
        <v>AP</v>
      </c>
      <c r="L87" s="52" t="str">
        <f>IF(F87="","",VLOOKUP(F87,'SELECT KELAS GASAL'!C$8:N$181,10,FALSE))</f>
        <v>DIU</v>
      </c>
      <c r="M87" s="52" t="str">
        <f>IF(F87="","",VLOOKUP(F87,'SELECT KELAS GASAL'!C$8:N$181,6,FALSE))</f>
        <v>D</v>
      </c>
      <c r="N87" s="52">
        <f>IF(F87="","",VLOOKUP(F87,'SELECT KELAS GASAL'!C$8:N$181,4,FALSE))</f>
        <v>5</v>
      </c>
      <c r="O87" s="52">
        <f>IF(F87="","",VLOOKUP(F87,'SELECT KELAS GASAL'!C$8:N$181,5,FALSE))</f>
        <v>2</v>
      </c>
      <c r="P87" s="52">
        <f>IF(F87="","",VLOOKUP(F87,'SELECT KELAS GASAL'!C$8:X$181,22,FALSE))</f>
        <v>20</v>
      </c>
      <c r="Q87" s="98" t="str">
        <f>IF(F87="","",VLOOKUP(F87,'SELECT KELAS GASAL'!C$8:N$181,11,FALSE))</f>
        <v>Anggi Perwitasari, S.T., M.T. / Desepta Isna Ulumi, S.Kom, M.Kom.</v>
      </c>
      <c r="R87" s="52" t="s">
        <v>173</v>
      </c>
    </row>
    <row r="88" spans="2:18" ht="34.950000000000003" customHeight="1" x14ac:dyDescent="0.3">
      <c r="B88" s="272"/>
      <c r="C88" s="51"/>
      <c r="D88" s="51" t="str">
        <f t="shared" si="5"/>
        <v/>
      </c>
      <c r="E88" s="51" t="str">
        <f t="shared" si="6"/>
        <v/>
      </c>
      <c r="F88" s="101"/>
      <c r="G88" s="115" t="s">
        <v>394</v>
      </c>
      <c r="H88" s="52" t="str">
        <f>IF(F88="","",VLOOKUP(F88,'SELECT KELAS GASAL'!C$8:N$181,2,FALSE))</f>
        <v/>
      </c>
      <c r="I88" s="98" t="str">
        <f>IF(F88="","",VLOOKUP(F88,'SELECT KELAS GASAL'!C$8:N$181,3,FALSE))</f>
        <v/>
      </c>
      <c r="J88" s="52" t="str">
        <f>IF(F88="","",VLOOKUP(F88,'SELECT KELAS GASAL'!C$8:N$181,12,FALSE))</f>
        <v/>
      </c>
      <c r="K88" s="52" t="str">
        <f>IF(F88="","",VLOOKUP(F88,'SELECT KELAS GASAL'!C$8:N$181,8,FALSE))</f>
        <v/>
      </c>
      <c r="L88" s="52" t="str">
        <f>IF(F88="","",VLOOKUP(F88,'SELECT KELAS GASAL'!C$8:N$181,10,FALSE))</f>
        <v/>
      </c>
      <c r="M88" s="52" t="str">
        <f>IF(F88="","",VLOOKUP(F88,'SELECT KELAS GASAL'!C$8:N$181,6,FALSE))</f>
        <v/>
      </c>
      <c r="N88" s="52" t="str">
        <f>IF(F88="","",VLOOKUP(F88,'SELECT KELAS GASAL'!C$8:N$181,4,FALSE))</f>
        <v/>
      </c>
      <c r="O88" s="52" t="str">
        <f>IF(F88="","",VLOOKUP(F88,'SELECT KELAS GASAL'!C$8:N$181,5,FALSE))</f>
        <v/>
      </c>
      <c r="P88" s="52" t="str">
        <f>IF(F88="","",VLOOKUP(F88,'SELECT KELAS GASAL'!C$8:X$181,22,FALSE))</f>
        <v/>
      </c>
      <c r="Q88" s="98" t="str">
        <f>IF(F88="","",VLOOKUP(F88,'SELECT KELAS GASAL'!C$8:N$181,11,FALSE))</f>
        <v/>
      </c>
      <c r="R88" s="53"/>
    </row>
    <row r="89" spans="2:18" ht="34.950000000000003" customHeight="1" x14ac:dyDescent="0.3">
      <c r="B89" s="272"/>
      <c r="C89" s="51">
        <v>0.53125</v>
      </c>
      <c r="D89" s="51" t="str">
        <f t="shared" si="5"/>
        <v>s/d</v>
      </c>
      <c r="E89" s="51">
        <f t="shared" si="6"/>
        <v>0.60069444444444442</v>
      </c>
      <c r="F89" s="101" t="s">
        <v>320</v>
      </c>
      <c r="G89" s="115" t="s">
        <v>394</v>
      </c>
      <c r="H89" s="52" t="str">
        <f>IF(F89="","",VLOOKUP(F89,'SELECT KELAS GASAL'!C$8:N$181,2,FALSE))</f>
        <v>INF-55201-103</v>
      </c>
      <c r="I89" s="98" t="str">
        <f>IF(F89="","",VLOOKUP(F89,'SELECT KELAS GASAL'!C$8:N$181,3,FALSE))</f>
        <v>Dasar  Pemrograman*</v>
      </c>
      <c r="J89" s="52" t="str">
        <f>IF(F89="","",VLOOKUP(F89,'SELECT KELAS GASAL'!C$8:N$181,12,FALSE))</f>
        <v>ABP</v>
      </c>
      <c r="K89" s="52" t="str">
        <f>IF(F89="","",VLOOKUP(F89,'SELECT KELAS GASAL'!C$8:N$181,8,FALSE))</f>
        <v>ABP</v>
      </c>
      <c r="L89" s="52" t="str">
        <f>IF(F89="","",VLOOKUP(F89,'SELECT KELAS GASAL'!C$8:N$181,10,FALSE))</f>
        <v>-</v>
      </c>
      <c r="M89" s="52" t="str">
        <f>IF(F89="","",VLOOKUP(F89,'SELECT KELAS GASAL'!C$8:N$181,6,FALSE))</f>
        <v>A</v>
      </c>
      <c r="N89" s="52">
        <f>IF(F89="","",VLOOKUP(F89,'SELECT KELAS GASAL'!C$8:N$181,4,FALSE))</f>
        <v>1</v>
      </c>
      <c r="O89" s="52">
        <f>IF(F89="","",VLOOKUP(F89,'SELECT KELAS GASAL'!C$8:N$181,5,FALSE))</f>
        <v>4</v>
      </c>
      <c r="P89" s="52">
        <f>IF(F89="","",VLOOKUP(F89,'SELECT KELAS GASAL'!C$8:X$181,22,FALSE))</f>
        <v>35</v>
      </c>
      <c r="Q89" s="98" t="str">
        <f>IF(F89="","",VLOOKUP(F89,'SELECT KELAS GASAL'!C$8:N$181,11,FALSE))</f>
        <v>Dr. Arif BPN, S.T., M.T.</v>
      </c>
      <c r="R89" s="52" t="s">
        <v>173</v>
      </c>
    </row>
    <row r="90" spans="2:18" ht="34.950000000000003" customHeight="1" x14ac:dyDescent="0.3">
      <c r="B90" s="272"/>
      <c r="C90" s="51">
        <v>0.53125</v>
      </c>
      <c r="D90" s="51" t="str">
        <f t="shared" si="5"/>
        <v>s/d</v>
      </c>
      <c r="E90" s="51">
        <f t="shared" si="6"/>
        <v>0.60069444444444442</v>
      </c>
      <c r="F90" s="101" t="s">
        <v>408</v>
      </c>
      <c r="G90" s="115" t="s">
        <v>394</v>
      </c>
      <c r="H90" s="52" t="str">
        <f>IF(F90="","",VLOOKUP(F90,'SELECT KELAS GASAL'!C$8:N$181,2,FALSE))</f>
        <v>INF-55201-205</v>
      </c>
      <c r="I90" s="98" t="str">
        <f>IF(F90="","",VLOOKUP(F90,'SELECT KELAS GASAL'!C$8:N$181,3,FALSE))</f>
        <v>Jaringan  Komputer *</v>
      </c>
      <c r="J90" s="52" t="str">
        <f>IF(F90="","",VLOOKUP(F90,'SELECT KELAS GASAL'!C$8:N$181,12,FALSE))</f>
        <v>AI / AAJ</v>
      </c>
      <c r="K90" s="52" t="str">
        <f>IF(F90="","",VLOOKUP(F90,'SELECT KELAS GASAL'!C$8:N$181,8,FALSE))</f>
        <v>AI</v>
      </c>
      <c r="L90" s="52" t="str">
        <f>IF(F90="","",VLOOKUP(F90,'SELECT KELAS GASAL'!C$8:N$181,10,FALSE))</f>
        <v>AAJ</v>
      </c>
      <c r="M90" s="52" t="str">
        <f>IF(F90="","",VLOOKUP(F90,'SELECT KELAS GASAL'!C$8:N$181,6,FALSE))</f>
        <v>B</v>
      </c>
      <c r="N90" s="52">
        <f>IF(F90="","",VLOOKUP(F90,'SELECT KELAS GASAL'!C$8:N$181,4,FALSE))</f>
        <v>3</v>
      </c>
      <c r="O90" s="52">
        <f>IF(F90="","",VLOOKUP(F90,'SELECT KELAS GASAL'!C$8:N$181,5,FALSE))</f>
        <v>4</v>
      </c>
      <c r="P90" s="52">
        <f>IF(F90="","",VLOOKUP(F90,'SELECT KELAS GASAL'!C$8:X$181,22,FALSE))</f>
        <v>25</v>
      </c>
      <c r="Q90" s="98" t="str">
        <f>IF(F90="","",VLOOKUP(F90,'SELECT KELAS GASAL'!C$8:N$181,11,FALSE))</f>
        <v>M.Azhar Irwansyah, S.T.,M.Eng. / Alfian Abdul Jalid, S.Kom., M.Cs.</v>
      </c>
      <c r="R90" s="52" t="s">
        <v>173</v>
      </c>
    </row>
    <row r="91" spans="2:18" ht="34.950000000000003" customHeight="1" x14ac:dyDescent="0.3">
      <c r="B91" s="272"/>
      <c r="C91" s="51">
        <v>0.53125</v>
      </c>
      <c r="D91" s="51" t="str">
        <f t="shared" si="5"/>
        <v>s/d</v>
      </c>
      <c r="E91" s="51">
        <f t="shared" si="6"/>
        <v>0.60069444444444442</v>
      </c>
      <c r="F91" s="101" t="s">
        <v>317</v>
      </c>
      <c r="G91" s="115" t="s">
        <v>394</v>
      </c>
      <c r="H91" s="52" t="str">
        <f>IF(F91="","",VLOOKUP(F91,'SELECT KELAS GASAL'!C$8:N$181,2,FALSE))</f>
        <v>INF-55201-206</v>
      </c>
      <c r="I91" s="98" t="str">
        <f>IF(F91="","",VLOOKUP(F91,'SELECT KELAS GASAL'!C$8:N$181,3,FALSE))</f>
        <v>Strategi Algoritma*</v>
      </c>
      <c r="J91" s="52" t="str">
        <f>IF(F91="","",VLOOKUP(F91,'SELECT KELAS GASAL'!C$8:N$181,12,FALSE))</f>
        <v>TZ</v>
      </c>
      <c r="K91" s="52" t="str">
        <f>IF(F91="","",VLOOKUP(F91,'SELECT KELAS GASAL'!C$8:N$181,8,FALSE))</f>
        <v>TZ</v>
      </c>
      <c r="L91" s="52" t="str">
        <f>IF(F91="","",VLOOKUP(F91,'SELECT KELAS GASAL'!C$8:N$181,10,FALSE))</f>
        <v>-</v>
      </c>
      <c r="M91" s="52" t="str">
        <f>IF(F91="","",VLOOKUP(F91,'SELECT KELAS GASAL'!C$8:N$181,6,FALSE))</f>
        <v>C</v>
      </c>
      <c r="N91" s="52">
        <f>IF(F91="","",VLOOKUP(F91,'SELECT KELAS GASAL'!C$8:N$181,4,FALSE))</f>
        <v>3</v>
      </c>
      <c r="O91" s="52">
        <f>IF(F91="","",VLOOKUP(F91,'SELECT KELAS GASAL'!C$8:N$181,5,FALSE))</f>
        <v>4</v>
      </c>
      <c r="P91" s="52">
        <f>IF(F91="","",VLOOKUP(F91,'SELECT KELAS GASAL'!C$8:X$181,22,FALSE))</f>
        <v>25</v>
      </c>
      <c r="Q91" s="98" t="str">
        <f>IF(F91="","",VLOOKUP(F91,'SELECT KELAS GASAL'!C$8:N$181,11,FALSE))</f>
        <v>Morteza Muthahhari, S.Kom., M.T.I</v>
      </c>
      <c r="R91" s="52" t="s">
        <v>173</v>
      </c>
    </row>
    <row r="92" spans="2:18" ht="34.950000000000003" customHeight="1" x14ac:dyDescent="0.3">
      <c r="B92" s="272"/>
      <c r="C92" s="51">
        <v>0.53125</v>
      </c>
      <c r="D92" s="51" t="str">
        <f t="shared" si="5"/>
        <v>s/d</v>
      </c>
      <c r="E92" s="51">
        <f t="shared" si="6"/>
        <v>0.60069444444444442</v>
      </c>
      <c r="F92" s="101" t="s">
        <v>366</v>
      </c>
      <c r="G92" s="115" t="s">
        <v>394</v>
      </c>
      <c r="H92" s="52" t="str">
        <f>IF(F92="","",VLOOKUP(F92,'SELECT KELAS GASAL'!C$8:N$181,2,FALSE))</f>
        <v>INF-55201-302</v>
      </c>
      <c r="I92" s="98" t="str">
        <f>IF(F92="","",VLOOKUP(F92,'SELECT KELAS GASAL'!C$8:N$181,3,FALSE))</f>
        <v>Pemrograman  Web *</v>
      </c>
      <c r="J92" s="52" t="str">
        <f>IF(F92="","",VLOOKUP(F92,'SELECT KELAS GASAL'!C$8:N$181,12,FALSE))</f>
        <v>EE / FA</v>
      </c>
      <c r="K92" s="52" t="str">
        <f>IF(F92="","",VLOOKUP(F92,'SELECT KELAS GASAL'!C$8:N$181,8,FALSE))</f>
        <v>EE</v>
      </c>
      <c r="L92" s="52" t="str">
        <f>IF(F92="","",VLOOKUP(F92,'SELECT KELAS GASAL'!C$8:N$181,10,FALSE))</f>
        <v>FA</v>
      </c>
      <c r="M92" s="52" t="str">
        <f>IF(F92="","",VLOOKUP(F92,'SELECT KELAS GASAL'!C$8:N$181,6,FALSE))</f>
        <v>A</v>
      </c>
      <c r="N92" s="52">
        <f>IF(F92="","",VLOOKUP(F92,'SELECT KELAS GASAL'!C$8:N$181,4,FALSE))</f>
        <v>5</v>
      </c>
      <c r="O92" s="52">
        <f>IF(F92="","",VLOOKUP(F92,'SELECT KELAS GASAL'!C$8:N$181,5,FALSE))</f>
        <v>4</v>
      </c>
      <c r="P92" s="52">
        <f>IF(F92="","",VLOOKUP(F92,'SELECT KELAS GASAL'!C$8:X$181,22,FALSE))</f>
        <v>25</v>
      </c>
      <c r="Q92" s="98" t="str">
        <f>IF(F92="","",VLOOKUP(F92,'SELECT KELAS GASAL'!C$8:N$181,11,FALSE))</f>
        <v>Enda Esyudha Pratama, S.T., M.T. / Fauzan Asrin, S.Kom, M. Kom.</v>
      </c>
      <c r="R92" s="52" t="s">
        <v>173</v>
      </c>
    </row>
    <row r="93" spans="2:18" ht="34.950000000000003" customHeight="1" x14ac:dyDescent="0.3">
      <c r="B93" s="272"/>
      <c r="C93" s="51">
        <v>0.53125</v>
      </c>
      <c r="D93" s="51" t="str">
        <f t="shared" si="5"/>
        <v>s/d</v>
      </c>
      <c r="E93" s="51">
        <f t="shared" si="6"/>
        <v>0.60069444444444442</v>
      </c>
      <c r="F93" s="101" t="s">
        <v>371</v>
      </c>
      <c r="G93" s="115" t="s">
        <v>394</v>
      </c>
      <c r="H93" s="52" t="str">
        <f>IF(F93="","",VLOOKUP(F93,'SELECT KELAS GASAL'!C$8:N$181,2,FALSE))</f>
        <v>INF-55201-306</v>
      </c>
      <c r="I93" s="98" t="str">
        <f>IF(F93="","",VLOOKUP(F93,'SELECT KELAS GASAL'!C$8:N$181,3,FALSE))</f>
        <v>Manajemen  Proyek  Perangkat  Lunak</v>
      </c>
      <c r="J93" s="52" t="str">
        <f>IF(F93="","",VLOOKUP(F93,'SELECT KELAS GASAL'!C$8:N$181,12,FALSE))</f>
        <v>AP / DIU</v>
      </c>
      <c r="K93" s="52" t="str">
        <f>IF(F93="","",VLOOKUP(F93,'SELECT KELAS GASAL'!C$8:N$181,8,FALSE))</f>
        <v>AP</v>
      </c>
      <c r="L93" s="52" t="str">
        <f>IF(F93="","",VLOOKUP(F93,'SELECT KELAS GASAL'!C$8:N$181,10,FALSE))</f>
        <v>DIU</v>
      </c>
      <c r="M93" s="52" t="str">
        <f>IF(F93="","",VLOOKUP(F93,'SELECT KELAS GASAL'!C$8:N$181,6,FALSE))</f>
        <v>C</v>
      </c>
      <c r="N93" s="52">
        <f>IF(F93="","",VLOOKUP(F93,'SELECT KELAS GASAL'!C$8:N$181,4,FALSE))</f>
        <v>5</v>
      </c>
      <c r="O93" s="52">
        <f>IF(F93="","",VLOOKUP(F93,'SELECT KELAS GASAL'!C$8:N$181,5,FALSE))</f>
        <v>2</v>
      </c>
      <c r="P93" s="52">
        <f>IF(F93="","",VLOOKUP(F93,'SELECT KELAS GASAL'!C$8:X$181,22,FALSE))</f>
        <v>20</v>
      </c>
      <c r="Q93" s="98" t="str">
        <f>IF(F93="","",VLOOKUP(F93,'SELECT KELAS GASAL'!C$8:N$181,11,FALSE))</f>
        <v>Anggi Perwitasari, S.T., M.T. / Desepta Isna Ulumi, S.Kom, M.Kom.</v>
      </c>
      <c r="R93" s="52" t="s">
        <v>173</v>
      </c>
    </row>
    <row r="94" spans="2:18" ht="34.950000000000003" customHeight="1" x14ac:dyDescent="0.3">
      <c r="B94" s="272"/>
      <c r="C94" s="51">
        <v>0.53125</v>
      </c>
      <c r="D94" s="51" t="str">
        <f t="shared" ref="D94" si="7">IF(C94="","","s/d")</f>
        <v>s/d</v>
      </c>
      <c r="E94" s="51" t="str">
        <f t="shared" ref="E94" si="8">IF(O94="","",(IF(O94=4,C94+TIME(0,2*50,0),C94+TIME(0,O94*50,0))))</f>
        <v/>
      </c>
      <c r="F94" s="101"/>
      <c r="G94" s="115" t="s">
        <v>394</v>
      </c>
      <c r="H94" s="52" t="str">
        <f>IF(F94="","",VLOOKUP(F94,'SELECT KELAS GASAL'!C$8:N$181,2,FALSE))</f>
        <v/>
      </c>
      <c r="I94" s="98" t="str">
        <f>IF(F94="","",VLOOKUP(F94,'SELECT KELAS GASAL'!C$8:N$181,3,FALSE))</f>
        <v/>
      </c>
      <c r="J94" s="52" t="str">
        <f>IF(F94="","",VLOOKUP(F94,'SELECT KELAS GASAL'!C$8:N$181,12,FALSE))</f>
        <v/>
      </c>
      <c r="K94" s="52" t="str">
        <f>IF(F94="","",VLOOKUP(F94,'SELECT KELAS GASAL'!C$8:N$181,8,FALSE))</f>
        <v/>
      </c>
      <c r="L94" s="52" t="str">
        <f>IF(F94="","",VLOOKUP(F94,'SELECT KELAS GASAL'!C$8:N$181,10,FALSE))</f>
        <v/>
      </c>
      <c r="M94" s="52" t="str">
        <f>IF(F94="","",VLOOKUP(F94,'SELECT KELAS GASAL'!C$8:N$181,6,FALSE))</f>
        <v/>
      </c>
      <c r="N94" s="52" t="str">
        <f>IF(F94="","",VLOOKUP(F94,'SELECT KELAS GASAL'!C$8:N$181,4,FALSE))</f>
        <v/>
      </c>
      <c r="O94" s="52" t="str">
        <f>IF(F94="","",VLOOKUP(F94,'SELECT KELAS GASAL'!C$8:N$181,5,FALSE))</f>
        <v/>
      </c>
      <c r="P94" s="52" t="str">
        <f>IF(F94="","",VLOOKUP(F94,'SELECT KELAS GASAL'!C$8:X$181,22,FALSE))</f>
        <v/>
      </c>
      <c r="Q94" s="98" t="str">
        <f>IF(F94="","",VLOOKUP(F94,'SELECT KELAS GASAL'!C$8:N$181,11,FALSE))</f>
        <v/>
      </c>
      <c r="R94" s="52" t="s">
        <v>173</v>
      </c>
    </row>
    <row r="95" spans="2:18" ht="34.950000000000003" customHeight="1" x14ac:dyDescent="0.3">
      <c r="B95" s="272"/>
      <c r="C95" s="51"/>
      <c r="D95" s="51" t="str">
        <f t="shared" si="5"/>
        <v/>
      </c>
      <c r="E95" s="51" t="str">
        <f t="shared" si="6"/>
        <v/>
      </c>
      <c r="F95" s="101"/>
      <c r="G95" s="115" t="s">
        <v>394</v>
      </c>
      <c r="H95" s="52" t="str">
        <f>IF(F95="","",VLOOKUP(F95,'SELECT KELAS GASAL'!C$8:N$181,2,FALSE))</f>
        <v/>
      </c>
      <c r="I95" s="98" t="str">
        <f>IF(F95="","",VLOOKUP(F95,'SELECT KELAS GASAL'!C$8:N$181,3,FALSE))</f>
        <v/>
      </c>
      <c r="J95" s="52" t="str">
        <f>IF(F95="","",VLOOKUP(F95,'SELECT KELAS GASAL'!C$8:N$181,12,FALSE))</f>
        <v/>
      </c>
      <c r="K95" s="52" t="str">
        <f>IF(F95="","",VLOOKUP(F95,'SELECT KELAS GASAL'!C$8:N$181,8,FALSE))</f>
        <v/>
      </c>
      <c r="L95" s="52" t="str">
        <f>IF(F95="","",VLOOKUP(F95,'SELECT KELAS GASAL'!C$8:N$181,10,FALSE))</f>
        <v/>
      </c>
      <c r="M95" s="52" t="str">
        <f>IF(F95="","",VLOOKUP(F95,'SELECT KELAS GASAL'!C$8:N$181,6,FALSE))</f>
        <v/>
      </c>
      <c r="N95" s="52" t="str">
        <f>IF(F95="","",VLOOKUP(F95,'SELECT KELAS GASAL'!C$8:N$181,4,FALSE))</f>
        <v/>
      </c>
      <c r="O95" s="52" t="str">
        <f>IF(F95="","",VLOOKUP(F95,'SELECT KELAS GASAL'!C$8:N$181,5,FALSE))</f>
        <v/>
      </c>
      <c r="P95" s="52" t="str">
        <f>IF(F95="","",VLOOKUP(F95,'SELECT KELAS GASAL'!C$8:X$181,22,FALSE))</f>
        <v/>
      </c>
      <c r="Q95" s="98" t="str">
        <f>IF(F95="","",VLOOKUP(F95,'SELECT KELAS GASAL'!C$8:N$181,11,FALSE))</f>
        <v/>
      </c>
      <c r="R95" s="53"/>
    </row>
    <row r="96" spans="2:18" ht="34.950000000000003" customHeight="1" x14ac:dyDescent="0.3">
      <c r="B96" s="272"/>
      <c r="C96" s="51">
        <v>0.60416666666666663</v>
      </c>
      <c r="D96" s="51" t="str">
        <f t="shared" si="5"/>
        <v>s/d</v>
      </c>
      <c r="E96" s="51">
        <f t="shared" si="6"/>
        <v>0.70833333333333326</v>
      </c>
      <c r="F96" s="101" t="s">
        <v>388</v>
      </c>
      <c r="G96" s="115" t="s">
        <v>394</v>
      </c>
      <c r="H96" s="52" t="str">
        <f>IF(F96="","",VLOOKUP(F96,'SELECT KELAS GASAL'!C$8:N$181,2,FALSE))</f>
        <v>INF-55201-102</v>
      </c>
      <c r="I96" s="98" t="str">
        <f>IF(F96="","",VLOOKUP(F96,'SELECT KELAS GASAL'!C$8:N$181,3,FALSE))</f>
        <v>Logika Informatika</v>
      </c>
      <c r="J96" s="52" t="str">
        <f>IF(F96="","",VLOOKUP(F96,'SELECT KELAS GASAL'!C$8:N$181,12,FALSE))</f>
        <v>TR / NC</v>
      </c>
      <c r="K96" s="52" t="str">
        <f>IF(F96="","",VLOOKUP(F96,'SELECT KELAS GASAL'!C$8:N$181,8,FALSE))</f>
        <v>TR</v>
      </c>
      <c r="L96" s="52" t="str">
        <f>IF(F96="","",VLOOKUP(F96,'SELECT KELAS GASAL'!C$8:N$181,10,FALSE))</f>
        <v>NC</v>
      </c>
      <c r="M96" s="52" t="str">
        <f>IF(F96="","",VLOOKUP(F96,'SELECT KELAS GASAL'!C$8:N$181,6,FALSE))</f>
        <v>B</v>
      </c>
      <c r="N96" s="52">
        <f>IF(F96="","",VLOOKUP(F96,'SELECT KELAS GASAL'!C$8:N$181,4,FALSE))</f>
        <v>1</v>
      </c>
      <c r="O96" s="52">
        <f>IF(F96="","",VLOOKUP(F96,'SELECT KELAS GASAL'!C$8:N$181,5,FALSE))</f>
        <v>3</v>
      </c>
      <c r="P96" s="52">
        <f>IF(F96="","",VLOOKUP(F96,'SELECT KELAS GASAL'!C$8:X$181,22,FALSE))</f>
        <v>35</v>
      </c>
      <c r="Q96" s="98" t="str">
        <f>IF(F96="","",VLOOKUP(F96,'SELECT KELAS GASAL'!C$8:N$181,11,FALSE))</f>
        <v>Tursina ST, M.Cs / Niken Candraningrum, S.T., M.Cs.</v>
      </c>
      <c r="R96" s="52" t="s">
        <v>173</v>
      </c>
    </row>
    <row r="97" spans="2:18" ht="34.950000000000003" customHeight="1" x14ac:dyDescent="0.3">
      <c r="B97" s="272"/>
      <c r="C97" s="51">
        <v>0.60416666666666663</v>
      </c>
      <c r="D97" s="51" t="str">
        <f t="shared" si="5"/>
        <v>s/d</v>
      </c>
      <c r="E97" s="51">
        <f t="shared" si="6"/>
        <v>0.70833333333333326</v>
      </c>
      <c r="F97" s="101" t="s">
        <v>352</v>
      </c>
      <c r="G97" s="115" t="s">
        <v>394</v>
      </c>
      <c r="H97" s="52" t="str">
        <f>IF(F97="","",VLOOKUP(F97,'SELECT KELAS GASAL'!C$8:N$181,2,FALSE))</f>
        <v>INF-55201-203</v>
      </c>
      <c r="I97" s="98" t="str">
        <f>IF(F97="","",VLOOKUP(F97,'SELECT KELAS GASAL'!C$8:N$181,3,FALSE))</f>
        <v>Matematika  Diskrit  </v>
      </c>
      <c r="J97" s="52" t="str">
        <f>IF(F97="","",VLOOKUP(F97,'SELECT KELAS GASAL'!C$8:N$181,12,FALSE))</f>
        <v>YL / KH</v>
      </c>
      <c r="K97" s="52" t="str">
        <f>IF(F97="","",VLOOKUP(F97,'SELECT KELAS GASAL'!C$8:N$181,8,FALSE))</f>
        <v>YL</v>
      </c>
      <c r="L97" s="52" t="str">
        <f>IF(F97="","",VLOOKUP(F97,'SELECT KELAS GASAL'!C$8:N$181,10,FALSE))</f>
        <v>KH</v>
      </c>
      <c r="M97" s="52" t="str">
        <f>IF(F97="","",VLOOKUP(F97,'SELECT KELAS GASAL'!C$8:N$181,6,FALSE))</f>
        <v>C</v>
      </c>
      <c r="N97" s="52">
        <f>IF(F97="","",VLOOKUP(F97,'SELECT KELAS GASAL'!C$8:N$181,4,FALSE))</f>
        <v>3</v>
      </c>
      <c r="O97" s="52">
        <f>IF(F97="","",VLOOKUP(F97,'SELECT KELAS GASAL'!C$8:N$181,5,FALSE))</f>
        <v>3</v>
      </c>
      <c r="P97" s="52">
        <f>IF(F97="","",VLOOKUP(F97,'SELECT KELAS GASAL'!C$8:X$181,22,FALSE))</f>
        <v>25</v>
      </c>
      <c r="Q97" s="98" t="str">
        <f>IF(F97="","",VLOOKUP(F97,'SELECT KELAS GASAL'!C$8:N$181,11,FALSE))</f>
        <v>Yulianti,S.Kom, MMSI / Khairul Hafidh, S.T., M.Kom.</v>
      </c>
      <c r="R97" s="52" t="s">
        <v>173</v>
      </c>
    </row>
    <row r="98" spans="2:18" ht="34.950000000000003" customHeight="1" x14ac:dyDescent="0.3">
      <c r="B98" s="272"/>
      <c r="C98" s="51">
        <v>0.60416666666666663</v>
      </c>
      <c r="D98" s="51" t="str">
        <f t="shared" si="5"/>
        <v>s/d</v>
      </c>
      <c r="E98" s="51">
        <f t="shared" si="6"/>
        <v>0.70833333333333326</v>
      </c>
      <c r="F98" s="101" t="s">
        <v>404</v>
      </c>
      <c r="G98" s="115" t="s">
        <v>394</v>
      </c>
      <c r="H98" s="52" t="str">
        <f>IF(F98="","",VLOOKUP(F98,'SELECT KELAS GASAL'!C$8:N$181,2,FALSE))</f>
        <v>INF-55201-304</v>
      </c>
      <c r="I98" s="98" t="str">
        <f>IF(F98="","",VLOOKUP(F98,'SELECT KELAS GASAL'!C$8:N$181,3,FALSE))</f>
        <v>Sistem Tertanam*</v>
      </c>
      <c r="J98" s="52" t="str">
        <f>IF(F98="","",VLOOKUP(F98,'SELECT KELAS GASAL'!C$8:N$181,12,FALSE))</f>
        <v>HM / AAJ</v>
      </c>
      <c r="K98" s="52" t="str">
        <f>IF(F98="","",VLOOKUP(F98,'SELECT KELAS GASAL'!C$8:N$181,8,FALSE))</f>
        <v>HM</v>
      </c>
      <c r="L98" s="52" t="str">
        <f>IF(F98="","",VLOOKUP(F98,'SELECT KELAS GASAL'!C$8:N$181,10,FALSE))</f>
        <v>AAJ</v>
      </c>
      <c r="M98" s="52" t="str">
        <f>IF(F98="","",VLOOKUP(F98,'SELECT KELAS GASAL'!C$8:N$181,6,FALSE))</f>
        <v>B</v>
      </c>
      <c r="N98" s="52">
        <f>IF(F98="","",VLOOKUP(F98,'SELECT KELAS GASAL'!C$8:N$181,4,FALSE))</f>
        <v>5</v>
      </c>
      <c r="O98" s="52">
        <f>IF(F98="","",VLOOKUP(F98,'SELECT KELAS GASAL'!C$8:N$181,5,FALSE))</f>
        <v>3</v>
      </c>
      <c r="P98" s="52">
        <f>IF(F98="","",VLOOKUP(F98,'SELECT KELAS GASAL'!C$8:X$181,22,FALSE))</f>
        <v>20</v>
      </c>
      <c r="Q98" s="98" t="str">
        <f>IF(F98="","",VLOOKUP(F98,'SELECT KELAS GASAL'!C$8:N$181,11,FALSE))</f>
        <v>Hafiz Muhardi, S.T., M.Kom / Alfian Abdul Jalid, S.Kom., M.Cs.</v>
      </c>
      <c r="R98" s="52" t="s">
        <v>173</v>
      </c>
    </row>
    <row r="99" spans="2:18" ht="34.950000000000003" customHeight="1" x14ac:dyDescent="0.3">
      <c r="B99" s="272"/>
      <c r="C99" s="51">
        <v>0.60416666666666663</v>
      </c>
      <c r="D99" s="51" t="str">
        <f t="shared" si="5"/>
        <v>s/d</v>
      </c>
      <c r="E99" s="51">
        <f t="shared" si="6"/>
        <v>0.70833333333333326</v>
      </c>
      <c r="F99" s="101" t="s">
        <v>367</v>
      </c>
      <c r="G99" s="115" t="s">
        <v>394</v>
      </c>
      <c r="H99" s="52" t="str">
        <f>IF(F99="","",VLOOKUP(F99,'SELECT KELAS GASAL'!C$8:N$181,2,FALSE))</f>
        <v>INF-55201-401</v>
      </c>
      <c r="I99" s="98" t="str">
        <f>IF(F99="","",VLOOKUP(F99,'SELECT KELAS GASAL'!C$8:N$181,3,FALSE))</f>
        <v>Teknopreneur*</v>
      </c>
      <c r="J99" s="52" t="str">
        <f>IF(F99="","",VLOOKUP(F99,'SELECT KELAS GASAL'!C$8:N$181,12,FALSE))</f>
        <v>RDN</v>
      </c>
      <c r="K99" s="52" t="str">
        <f>IF(F99="","",VLOOKUP(F99,'SELECT KELAS GASAL'!C$8:N$181,8,FALSE))</f>
        <v>RDN</v>
      </c>
      <c r="L99" s="52" t="str">
        <f>IF(F99="","",VLOOKUP(F99,'SELECT KELAS GASAL'!C$8:N$181,10,FALSE))</f>
        <v>-</v>
      </c>
      <c r="M99" s="52" t="str">
        <f>IF(F99="","",VLOOKUP(F99,'SELECT KELAS GASAL'!C$8:N$181,6,FALSE))</f>
        <v>C</v>
      </c>
      <c r="N99" s="52">
        <f>IF(F99="","",VLOOKUP(F99,'SELECT KELAS GASAL'!C$8:N$181,4,FALSE))</f>
        <v>7</v>
      </c>
      <c r="O99" s="52">
        <f>IF(F99="","",VLOOKUP(F99,'SELECT KELAS GASAL'!C$8:N$181,5,FALSE))</f>
        <v>3</v>
      </c>
      <c r="P99" s="52">
        <f>IF(F99="","",VLOOKUP(F99,'SELECT KELAS GASAL'!C$8:X$181,22,FALSE))</f>
        <v>20</v>
      </c>
      <c r="Q99" s="98" t="str">
        <f>IF(F99="","",VLOOKUP(F99,'SELECT KELAS GASAL'!C$8:N$181,11,FALSE))</f>
        <v>Rudy Dwi Nyoto, S.T., M.Eng</v>
      </c>
      <c r="R99" s="52" t="s">
        <v>173</v>
      </c>
    </row>
    <row r="100" spans="2:18" ht="34.950000000000003" customHeight="1" x14ac:dyDescent="0.3">
      <c r="B100" s="272"/>
      <c r="C100" s="51">
        <v>0.60416666666666663</v>
      </c>
      <c r="D100" s="51" t="str">
        <f t="shared" si="5"/>
        <v>s/d</v>
      </c>
      <c r="E100" s="51">
        <f t="shared" si="6"/>
        <v>0.70833333333333326</v>
      </c>
      <c r="F100" s="101" t="s">
        <v>307</v>
      </c>
      <c r="G100" s="115" t="s">
        <v>394</v>
      </c>
      <c r="H100" s="52" t="str">
        <f>IF(F100="","",VLOOKUP(F100,'SELECT KELAS GASAL'!C$8:N$181,2,FALSE))</f>
        <v>INF­55201­531</v>
      </c>
      <c r="I100" s="98" t="str">
        <f>IF(F100="","",VLOOKUP(F100,'SELECT KELAS GASAL'!C$8:N$181,3,FALSE))</f>
        <v xml:space="preserve">Forensik  Digital  </v>
      </c>
      <c r="J100" s="52" t="str">
        <f>IF(F100="","",VLOOKUP(F100,'SELECT KELAS GASAL'!C$8:N$181,12,FALSE))</f>
        <v>NS</v>
      </c>
      <c r="K100" s="52" t="str">
        <f>IF(F100="","",VLOOKUP(F100,'SELECT KELAS GASAL'!C$8:N$181,8,FALSE))</f>
        <v>NS</v>
      </c>
      <c r="L100" s="52" t="str">
        <f>IF(F100="","",VLOOKUP(F100,'SELECT KELAS GASAL'!C$8:N$181,10,FALSE))</f>
        <v>-</v>
      </c>
      <c r="M100" s="52" t="str">
        <f>IF(F100="","",VLOOKUP(F100,'SELECT KELAS GASAL'!C$8:N$181,6,FALSE))</f>
        <v>B</v>
      </c>
      <c r="N100" s="52">
        <f>IF(F100="","",VLOOKUP(F100,'SELECT KELAS GASAL'!C$8:N$181,4,FALSE))</f>
        <v>7</v>
      </c>
      <c r="O100" s="52">
        <f>IF(F100="","",VLOOKUP(F100,'SELECT KELAS GASAL'!C$8:N$181,5,FALSE))</f>
        <v>3</v>
      </c>
      <c r="P100" s="52">
        <f>IF(F100="","",VLOOKUP(F100,'SELECT KELAS GASAL'!C$8:X$181,22,FALSE))</f>
        <v>20</v>
      </c>
      <c r="Q100" s="98" t="str">
        <f>IF(F100="","",VLOOKUP(F100,'SELECT KELAS GASAL'!C$8:N$181,11,FALSE))</f>
        <v>Novi Safriadi, S.T., M.T.</v>
      </c>
      <c r="R100" s="52" t="s">
        <v>173</v>
      </c>
    </row>
    <row r="101" spans="2:18" ht="34.950000000000003" customHeight="1" x14ac:dyDescent="0.3">
      <c r="B101" s="182"/>
      <c r="C101" s="51">
        <v>0.60416666666666663</v>
      </c>
      <c r="D101" s="51" t="str">
        <f t="shared" ref="D101" si="9">IF(C101="","","s/d")</f>
        <v>s/d</v>
      </c>
      <c r="E101" s="51">
        <f t="shared" ref="E101" si="10">IF(O101="","",(IF(O101=4,C101+TIME(0,2*50,0),C101+TIME(0,O101*50,0))))</f>
        <v>0.67361111111111105</v>
      </c>
      <c r="F101" s="101" t="s">
        <v>490</v>
      </c>
      <c r="G101" s="115" t="s">
        <v>394</v>
      </c>
      <c r="H101" s="52" t="str">
        <f>IF(F101="","",VLOOKUP(F101,'SELECT KELAS GASAL'!C$8:N$181,2,FALSE))</f>
        <v>INF-55201-202</v>
      </c>
      <c r="I101" s="98" t="str">
        <f>IF(F101="","",VLOOKUP(F101,'SELECT KELAS GASAL'!C$8:N$181,3,FALSE))</f>
        <v>Teori  Graf  </v>
      </c>
      <c r="J101" s="52" t="str">
        <f>IF(F101="","",VLOOKUP(F101,'SELECT KELAS GASAL'!C$8:N$181,12,FALSE))</f>
        <v>HN</v>
      </c>
      <c r="K101" s="52" t="str">
        <f>IF(F101="","",VLOOKUP(F101,'SELECT KELAS GASAL'!C$8:N$181,8,FALSE))</f>
        <v>HN</v>
      </c>
      <c r="L101" s="52" t="str">
        <f>IF(F101="","",VLOOKUP(F101,'SELECT KELAS GASAL'!C$8:N$181,10,FALSE))</f>
        <v>-</v>
      </c>
      <c r="M101" s="52" t="str">
        <f>IF(F101="","",VLOOKUP(F101,'SELECT KELAS GASAL'!C$8:N$181,6,FALSE))</f>
        <v>D</v>
      </c>
      <c r="N101" s="52">
        <f>IF(F101="","",VLOOKUP(F101,'SELECT KELAS GASAL'!C$8:N$181,4,FALSE))</f>
        <v>3</v>
      </c>
      <c r="O101" s="52">
        <f>IF(F101="","",VLOOKUP(F101,'SELECT KELAS GASAL'!C$8:N$181,5,FALSE))</f>
        <v>2</v>
      </c>
      <c r="P101" s="52">
        <f>IF(F101="","",VLOOKUP(F101,'SELECT KELAS GASAL'!C$8:X$181,22,FALSE))</f>
        <v>25</v>
      </c>
      <c r="Q101" s="98" t="str">
        <f>IF(F101="","",VLOOKUP(F101,'SELECT KELAS GASAL'!C$8:N$181,11,FALSE))</f>
        <v>Haried Novriando, S.Kom, M.Eng</v>
      </c>
      <c r="R101" s="52" t="s">
        <v>173</v>
      </c>
    </row>
    <row r="102" spans="2:18" ht="34.799999999999997" customHeight="1" x14ac:dyDescent="0.3">
      <c r="B102" s="123"/>
      <c r="C102" s="116"/>
      <c r="D102" s="116" t="str">
        <f t="shared" si="5"/>
        <v/>
      </c>
      <c r="E102" s="116" t="str">
        <f t="shared" si="6"/>
        <v/>
      </c>
      <c r="F102" s="117"/>
      <c r="G102" s="118" t="s">
        <v>394</v>
      </c>
      <c r="H102" s="119" t="str">
        <f>IF(F102="","",VLOOKUP(F102,'SELECT KELAS GASAL'!C$8:N$181,2,FALSE))</f>
        <v/>
      </c>
      <c r="I102" s="120" t="str">
        <f>IF(F102="","",VLOOKUP(F102,'SELECT KELAS GASAL'!C$8:N$181,3,FALSE))</f>
        <v/>
      </c>
      <c r="J102" s="119" t="str">
        <f>IF(F102="","",VLOOKUP(F102,'SELECT KELAS GASAL'!C$8:N$181,12,FALSE))</f>
        <v/>
      </c>
      <c r="K102" s="119" t="str">
        <f>IF(F102="","",VLOOKUP(F102,'SELECT KELAS GASAL'!C$8:N$181,8,FALSE))</f>
        <v/>
      </c>
      <c r="L102" s="119" t="str">
        <f>IF(F102="","",VLOOKUP(F102,'SELECT KELAS GASAL'!C$8:N$181,10,FALSE))</f>
        <v/>
      </c>
      <c r="M102" s="119" t="str">
        <f>IF(F102="","",VLOOKUP(F102,'SELECT KELAS GASAL'!C$8:N$181,6,FALSE))</f>
        <v/>
      </c>
      <c r="N102" s="119" t="str">
        <f>IF(F102="","",VLOOKUP(F102,'SELECT KELAS GASAL'!C$8:N$181,4,FALSE))</f>
        <v/>
      </c>
      <c r="O102" s="119" t="str">
        <f>IF(F102="","",VLOOKUP(F102,'SELECT KELAS GASAL'!C$8:N$181,5,FALSE))</f>
        <v/>
      </c>
      <c r="P102" s="52" t="str">
        <f>IF(F102="","",VLOOKUP(F102,'SELECT KELAS GASAL'!C$8:X$181,22,FALSE))</f>
        <v/>
      </c>
      <c r="Q102" s="120" t="str">
        <f>IF(F102="","",VLOOKUP(F102,'SELECT KELAS GASAL'!C$8:N$181,11,FALSE))</f>
        <v/>
      </c>
      <c r="R102" s="119"/>
    </row>
    <row r="103" spans="2:18" ht="34.950000000000003" customHeight="1" x14ac:dyDescent="0.3">
      <c r="B103" s="272" t="s">
        <v>329</v>
      </c>
      <c r="C103" s="51">
        <v>0.3125</v>
      </c>
      <c r="D103" s="51" t="str">
        <f t="shared" si="5"/>
        <v>s/d</v>
      </c>
      <c r="E103" s="51">
        <f t="shared" si="6"/>
        <v>0.38194444444444442</v>
      </c>
      <c r="F103" s="101" t="s">
        <v>323</v>
      </c>
      <c r="G103" s="115" t="s">
        <v>394</v>
      </c>
      <c r="H103" s="52" t="str">
        <f>IF(F103="","",VLOOKUP(F103,'SELECT KELAS GASAL'!C$8:N$181,2,FALSE))</f>
        <v>INF-55201-205</v>
      </c>
      <c r="I103" s="98" t="str">
        <f>IF(F103="","",VLOOKUP(F103,'SELECT KELAS GASAL'!C$8:N$181,3,FALSE))</f>
        <v>Jaringan  Komputer *</v>
      </c>
      <c r="J103" s="52" t="str">
        <f>IF(F103="","",VLOOKUP(F103,'SELECT KELAS GASAL'!C$8:N$181,12,FALSE))</f>
        <v>AI / HN</v>
      </c>
      <c r="K103" s="52" t="str">
        <f>IF(F103="","",VLOOKUP(F103,'SELECT KELAS GASAL'!C$8:N$181,8,FALSE))</f>
        <v>AI</v>
      </c>
      <c r="L103" s="52" t="str">
        <f>IF(F103="","",VLOOKUP(F103,'SELECT KELAS GASAL'!C$8:N$181,10,FALSE))</f>
        <v>HN</v>
      </c>
      <c r="M103" s="52" t="str">
        <f>IF(F103="","",VLOOKUP(F103,'SELECT KELAS GASAL'!C$8:N$181,6,FALSE))</f>
        <v>A</v>
      </c>
      <c r="N103" s="52">
        <f>IF(F103="","",VLOOKUP(F103,'SELECT KELAS GASAL'!C$8:N$181,4,FALSE))</f>
        <v>3</v>
      </c>
      <c r="O103" s="52">
        <f>IF(F103="","",VLOOKUP(F103,'SELECT KELAS GASAL'!C$8:N$181,5,FALSE))</f>
        <v>4</v>
      </c>
      <c r="P103" s="52">
        <f>IF(F103="","",VLOOKUP(F103,'SELECT KELAS GASAL'!C$8:X$181,22,FALSE))</f>
        <v>25</v>
      </c>
      <c r="Q103" s="98" t="str">
        <f>IF(F103="","",VLOOKUP(F103,'SELECT KELAS GASAL'!C$8:N$181,11,FALSE))</f>
        <v>M.Azhar Irwansyah, S.T.,M.Eng. / Haried Novriando, S.Kom, M.Eng</v>
      </c>
      <c r="R103" s="52" t="s">
        <v>173</v>
      </c>
    </row>
    <row r="104" spans="2:18" ht="34.950000000000003" customHeight="1" x14ac:dyDescent="0.3">
      <c r="B104" s="272"/>
      <c r="C104" s="51">
        <v>0.3125</v>
      </c>
      <c r="D104" s="51" t="str">
        <f t="shared" si="5"/>
        <v>s/d</v>
      </c>
      <c r="E104" s="51">
        <f t="shared" si="6"/>
        <v>0.38194444444444442</v>
      </c>
      <c r="F104" s="101" t="s">
        <v>304</v>
      </c>
      <c r="G104" s="115" t="s">
        <v>394</v>
      </c>
      <c r="H104" s="52" t="str">
        <f>IF(F104="","",VLOOKUP(F104,'SELECT KELAS GASAL'!C$8:N$181,2,FALSE))</f>
        <v>INF-55201-103</v>
      </c>
      <c r="I104" s="98" t="str">
        <f>IF(F104="","",VLOOKUP(F104,'SELECT KELAS GASAL'!C$8:N$181,3,FALSE))</f>
        <v>Dasar  Pemrograman*</v>
      </c>
      <c r="J104" s="52" t="str">
        <f>IF(F104="","",VLOOKUP(F104,'SELECT KELAS GASAL'!C$8:N$181,12,FALSE))</f>
        <v>HS</v>
      </c>
      <c r="K104" s="52" t="str">
        <f>IF(F104="","",VLOOKUP(F104,'SELECT KELAS GASAL'!C$8:N$181,8,FALSE))</f>
        <v>HS</v>
      </c>
      <c r="L104" s="52" t="str">
        <f>IF(F104="","",VLOOKUP(F104,'SELECT KELAS GASAL'!C$8:N$181,10,FALSE))</f>
        <v>-</v>
      </c>
      <c r="M104" s="52" t="str">
        <f>IF(F104="","",VLOOKUP(F104,'SELECT KELAS GASAL'!C$8:N$181,6,FALSE))</f>
        <v>B</v>
      </c>
      <c r="N104" s="52">
        <f>IF(F104="","",VLOOKUP(F104,'SELECT KELAS GASAL'!C$8:N$181,4,FALSE))</f>
        <v>1</v>
      </c>
      <c r="O104" s="52">
        <f>IF(F104="","",VLOOKUP(F104,'SELECT KELAS GASAL'!C$8:N$181,5,FALSE))</f>
        <v>4</v>
      </c>
      <c r="P104" s="52">
        <f>IF(F104="","",VLOOKUP(F104,'SELECT KELAS GASAL'!C$8:X$181,22,FALSE))</f>
        <v>35</v>
      </c>
      <c r="Q104" s="98" t="str">
        <f>IF(F104="","",VLOOKUP(F104,'SELECT KELAS GASAL'!C$8:N$181,11,FALSE))</f>
        <v>Dr. Herry Sujaini, S.T., M.T.</v>
      </c>
      <c r="R104" s="52" t="s">
        <v>173</v>
      </c>
    </row>
    <row r="105" spans="2:18" ht="34.950000000000003" customHeight="1" x14ac:dyDescent="0.3">
      <c r="B105" s="272"/>
      <c r="C105" s="51">
        <v>0.3125</v>
      </c>
      <c r="D105" s="51" t="str">
        <f t="shared" si="5"/>
        <v>s/d</v>
      </c>
      <c r="E105" s="51">
        <f t="shared" si="6"/>
        <v>0.38194444444444442</v>
      </c>
      <c r="F105" s="101" t="s">
        <v>379</v>
      </c>
      <c r="G105" s="115" t="s">
        <v>394</v>
      </c>
      <c r="H105" s="52" t="str">
        <f>IF(F105="","",VLOOKUP(F105,'SELECT KELAS GASAL'!C$8:N$181,2,FALSE))</f>
        <v>INF-55201-310</v>
      </c>
      <c r="I105" s="98" t="str">
        <f>IF(F105="","",VLOOKUP(F105,'SELECT KELAS GASAL'!C$8:N$181,3,FALSE))</f>
        <v>Penulisan Proposal  Tugas  Akhir  </v>
      </c>
      <c r="J105" s="52" t="str">
        <f>IF(F105="","",VLOOKUP(F105,'SELECT KELAS GASAL'!C$8:N$181,12,FALSE))</f>
        <v>EFR</v>
      </c>
      <c r="K105" s="52" t="str">
        <f>IF(F105="","",VLOOKUP(F105,'SELECT KELAS GASAL'!C$8:N$181,8,FALSE))</f>
        <v>EFR</v>
      </c>
      <c r="L105" s="52" t="str">
        <f>IF(F105="","",VLOOKUP(F105,'SELECT KELAS GASAL'!C$8:N$181,10,FALSE))</f>
        <v>-</v>
      </c>
      <c r="M105" s="52" t="str">
        <f>IF(F105="","",VLOOKUP(F105,'SELECT KELAS GASAL'!C$8:N$181,6,FALSE))</f>
        <v>C</v>
      </c>
      <c r="N105" s="52">
        <f>IF(F105="","",VLOOKUP(F105,'SELECT KELAS GASAL'!C$8:N$181,4,FALSE))</f>
        <v>5</v>
      </c>
      <c r="O105" s="52">
        <f>IF(F105="","",VLOOKUP(F105,'SELECT KELAS GASAL'!C$8:N$181,5,FALSE))</f>
        <v>2</v>
      </c>
      <c r="P105" s="52">
        <f>IF(F105="","",VLOOKUP(F105,'SELECT KELAS GASAL'!C$8:X$181,22,FALSE))</f>
        <v>20</v>
      </c>
      <c r="Q105" s="98" t="str">
        <f>IF(F105="","",VLOOKUP(F105,'SELECT KELAS GASAL'!C$8:N$181,11,FALSE))</f>
        <v>Eva Faja Ripanti, S.Kom, MMSI, Ph.D</v>
      </c>
      <c r="R105" s="52" t="s">
        <v>173</v>
      </c>
    </row>
    <row r="106" spans="2:18" ht="34.950000000000003" customHeight="1" x14ac:dyDescent="0.3">
      <c r="B106" s="272"/>
      <c r="C106" s="51">
        <v>0.3125</v>
      </c>
      <c r="D106" s="51" t="str">
        <f t="shared" si="5"/>
        <v>s/d</v>
      </c>
      <c r="E106" s="51">
        <f t="shared" si="6"/>
        <v>0.38194444444444442</v>
      </c>
      <c r="F106" s="101" t="s">
        <v>364</v>
      </c>
      <c r="G106" s="115" t="s">
        <v>394</v>
      </c>
      <c r="H106" s="52" t="str">
        <f>IF(F106="","",VLOOKUP(F106,'SELECT KELAS GASAL'!C$8:N$181,2,FALSE))</f>
        <v>UMG-55201-101</v>
      </c>
      <c r="I106" s="98" t="str">
        <f>IF(F106="","",VLOOKUP(F106,'SELECT KELAS GASAL'!C$8:N$181,3,FALSE))</f>
        <v>Pendidikan Pancasila</v>
      </c>
      <c r="J106" s="52" t="str">
        <f>IF(F106="","",VLOOKUP(F106,'SELECT KELAS GASAL'!C$8:N$181,12,FALSE))</f>
        <v>MKU</v>
      </c>
      <c r="K106" s="52" t="str">
        <f>IF(F106="","",VLOOKUP(F106,'SELECT KELAS GASAL'!C$8:N$181,8,FALSE))</f>
        <v>MKU</v>
      </c>
      <c r="L106" s="52" t="str">
        <f>IF(F106="","",VLOOKUP(F106,'SELECT KELAS GASAL'!C$8:N$181,10,FALSE))</f>
        <v>-</v>
      </c>
      <c r="M106" s="52" t="str">
        <f>IF(F106="","",VLOOKUP(F106,'SELECT KELAS GASAL'!C$8:N$181,6,FALSE))</f>
        <v>C</v>
      </c>
      <c r="N106" s="52">
        <f>IF(F106="","",VLOOKUP(F106,'SELECT KELAS GASAL'!C$8:N$181,4,FALSE))</f>
        <v>1</v>
      </c>
      <c r="O106" s="52">
        <f>IF(F106="","",VLOOKUP(F106,'SELECT KELAS GASAL'!C$8:N$181,5,FALSE))</f>
        <v>2</v>
      </c>
      <c r="P106" s="52">
        <f>IF(F106="","",VLOOKUP(F106,'SELECT KELAS GASAL'!C$8:X$181,22,FALSE))</f>
        <v>35</v>
      </c>
      <c r="Q106" s="98" t="str">
        <f>IF(F106="","",VLOOKUP(F106,'SELECT KELAS GASAL'!C$8:N$181,11,FALSE))</f>
        <v>MKU</v>
      </c>
      <c r="R106" s="52" t="s">
        <v>173</v>
      </c>
    </row>
    <row r="107" spans="2:18" ht="34.950000000000003" customHeight="1" x14ac:dyDescent="0.3">
      <c r="B107" s="272"/>
      <c r="C107" s="51">
        <v>0.3125</v>
      </c>
      <c r="D107" s="51" t="str">
        <f t="shared" si="5"/>
        <v>s/d</v>
      </c>
      <c r="E107" s="51">
        <f t="shared" si="6"/>
        <v>0.38194444444444442</v>
      </c>
      <c r="F107" s="101" t="s">
        <v>386</v>
      </c>
      <c r="G107" s="115" t="s">
        <v>394</v>
      </c>
      <c r="H107" s="52" t="str">
        <f>IF(F107="","",VLOOKUP(F107,'SELECT KELAS GASAL'!C$8:N$181,2,FALSE))</f>
        <v>INF-55201-301</v>
      </c>
      <c r="I107" s="98" t="str">
        <f>IF(F107="","",VLOOKUP(F107,'SELECT KELAS GASAL'!C$8:N$181,3,FALSE))</f>
        <v>Interaksi  Manusia  dan  Komputer  </v>
      </c>
      <c r="J107" s="52" t="str">
        <f>IF(F107="","",VLOOKUP(F107,'SELECT KELAS GASAL'!C$8:N$181,12,FALSE))</f>
        <v>HA</v>
      </c>
      <c r="K107" s="52" t="str">
        <f>IF(F107="","",VLOOKUP(F107,'SELECT KELAS GASAL'!C$8:N$181,8,FALSE))</f>
        <v>HA</v>
      </c>
      <c r="L107" s="52" t="str">
        <f>IF(F107="","",VLOOKUP(F107,'SELECT KELAS GASAL'!C$8:N$181,10,FALSE))</f>
        <v>-</v>
      </c>
      <c r="M107" s="52" t="str">
        <f>IF(F107="","",VLOOKUP(F107,'SELECT KELAS GASAL'!C$8:N$181,6,FALSE))</f>
        <v>B</v>
      </c>
      <c r="N107" s="52">
        <f>IF(F107="","",VLOOKUP(F107,'SELECT KELAS GASAL'!C$8:N$181,4,FALSE))</f>
        <v>5</v>
      </c>
      <c r="O107" s="52">
        <f>IF(F107="","",VLOOKUP(F107,'SELECT KELAS GASAL'!C$8:N$181,5,FALSE))</f>
        <v>2</v>
      </c>
      <c r="P107" s="52">
        <f>IF(F107="","",VLOOKUP(F107,'SELECT KELAS GASAL'!C$8:X$181,22,FALSE))</f>
        <v>25</v>
      </c>
      <c r="Q107" s="98" t="str">
        <f>IF(F107="","",VLOOKUP(F107,'SELECT KELAS GASAL'!C$8:N$181,11,FALSE))</f>
        <v>H. Hengky Anra, S.T., M.Kom</v>
      </c>
      <c r="R107" s="52" t="s">
        <v>173</v>
      </c>
    </row>
    <row r="108" spans="2:18" ht="34.799999999999997" customHeight="1" x14ac:dyDescent="0.3">
      <c r="B108" s="272"/>
      <c r="C108" s="51"/>
      <c r="D108" s="51" t="str">
        <f t="shared" si="5"/>
        <v/>
      </c>
      <c r="E108" s="51" t="str">
        <f t="shared" si="6"/>
        <v/>
      </c>
      <c r="F108" s="101"/>
      <c r="G108" s="115" t="s">
        <v>394</v>
      </c>
      <c r="H108" s="52" t="str">
        <f>IF(F108="","",VLOOKUP(F108,'SELECT KELAS GASAL'!C$8:N$181,2,FALSE))</f>
        <v/>
      </c>
      <c r="I108" s="98" t="str">
        <f>IF(F108="","",VLOOKUP(F108,'SELECT KELAS GASAL'!C$8:N$181,3,FALSE))</f>
        <v/>
      </c>
      <c r="J108" s="52" t="str">
        <f>IF(F108="","",VLOOKUP(F108,'SELECT KELAS GASAL'!C$8:N$181,12,FALSE))</f>
        <v/>
      </c>
      <c r="K108" s="52" t="str">
        <f>IF(F108="","",VLOOKUP(F108,'SELECT KELAS GASAL'!C$8:N$181,8,FALSE))</f>
        <v/>
      </c>
      <c r="L108" s="52" t="str">
        <f>IF(F108="","",VLOOKUP(F108,'SELECT KELAS GASAL'!C$8:N$181,10,FALSE))</f>
        <v/>
      </c>
      <c r="M108" s="52" t="str">
        <f>IF(F108="","",VLOOKUP(F108,'SELECT KELAS GASAL'!C$8:N$181,6,FALSE))</f>
        <v/>
      </c>
      <c r="N108" s="52" t="str">
        <f>IF(F108="","",VLOOKUP(F108,'SELECT KELAS GASAL'!C$8:N$181,4,FALSE))</f>
        <v/>
      </c>
      <c r="O108" s="52" t="str">
        <f>IF(F108="","",VLOOKUP(F108,'SELECT KELAS GASAL'!C$8:N$181,5,FALSE))</f>
        <v/>
      </c>
      <c r="P108" s="52" t="str">
        <f>IF(F108="","",VLOOKUP(F108,'SELECT KELAS GASAL'!C$8:X$181,22,FALSE))</f>
        <v/>
      </c>
      <c r="Q108" s="98" t="str">
        <f>IF(F108="","",VLOOKUP(F108,'SELECT KELAS GASAL'!C$8:N$181,11,FALSE))</f>
        <v/>
      </c>
      <c r="R108" s="53"/>
    </row>
    <row r="109" spans="2:18" ht="34.950000000000003" customHeight="1" x14ac:dyDescent="0.3">
      <c r="B109" s="272"/>
      <c r="C109" s="51">
        <v>0.38541666666666669</v>
      </c>
      <c r="D109" s="51" t="str">
        <f t="shared" si="5"/>
        <v>s/d</v>
      </c>
      <c r="E109" s="51">
        <f t="shared" si="6"/>
        <v>0.45486111111111116</v>
      </c>
      <c r="F109" s="101" t="s">
        <v>323</v>
      </c>
      <c r="G109" s="115" t="s">
        <v>394</v>
      </c>
      <c r="H109" s="52" t="str">
        <f>IF(F109="","",VLOOKUP(F109,'SELECT KELAS GASAL'!C$8:N$181,2,FALSE))</f>
        <v>INF-55201-205</v>
      </c>
      <c r="I109" s="98" t="str">
        <f>IF(F109="","",VLOOKUP(F109,'SELECT KELAS GASAL'!C$8:N$181,3,FALSE))</f>
        <v>Jaringan  Komputer *</v>
      </c>
      <c r="J109" s="52" t="str">
        <f>IF(F109="","",VLOOKUP(F109,'SELECT KELAS GASAL'!C$8:N$181,12,FALSE))</f>
        <v>AI / HN</v>
      </c>
      <c r="K109" s="52" t="str">
        <f>IF(F109="","",VLOOKUP(F109,'SELECT KELAS GASAL'!C$8:N$181,8,FALSE))</f>
        <v>AI</v>
      </c>
      <c r="L109" s="52" t="str">
        <f>IF(F109="","",VLOOKUP(F109,'SELECT KELAS GASAL'!C$8:N$181,10,FALSE))</f>
        <v>HN</v>
      </c>
      <c r="M109" s="52" t="str">
        <f>IF(F109="","",VLOOKUP(F109,'SELECT KELAS GASAL'!C$8:N$181,6,FALSE))</f>
        <v>A</v>
      </c>
      <c r="N109" s="52">
        <f>IF(F109="","",VLOOKUP(F109,'SELECT KELAS GASAL'!C$8:N$181,4,FALSE))</f>
        <v>3</v>
      </c>
      <c r="O109" s="52">
        <f>IF(F109="","",VLOOKUP(F109,'SELECT KELAS GASAL'!C$8:N$181,5,FALSE))</f>
        <v>4</v>
      </c>
      <c r="P109" s="52">
        <f>IF(F109="","",VLOOKUP(F109,'SELECT KELAS GASAL'!C$8:X$181,22,FALSE))</f>
        <v>25</v>
      </c>
      <c r="Q109" s="98" t="str">
        <f>IF(F109="","",VLOOKUP(F109,'SELECT KELAS GASAL'!C$8:N$181,11,FALSE))</f>
        <v>M.Azhar Irwansyah, S.T.,M.Eng. / Haried Novriando, S.Kom, M.Eng</v>
      </c>
      <c r="R109" s="52" t="s">
        <v>173</v>
      </c>
    </row>
    <row r="110" spans="2:18" ht="34.950000000000003" customHeight="1" x14ac:dyDescent="0.3">
      <c r="B110" s="272"/>
      <c r="C110" s="51">
        <v>0.38541666666666669</v>
      </c>
      <c r="D110" s="51" t="str">
        <f t="shared" si="5"/>
        <v>s/d</v>
      </c>
      <c r="E110" s="51">
        <f t="shared" si="6"/>
        <v>0.45486111111111116</v>
      </c>
      <c r="F110" s="101" t="s">
        <v>304</v>
      </c>
      <c r="G110" s="115" t="s">
        <v>394</v>
      </c>
      <c r="H110" s="52" t="str">
        <f>IF(F110="","",VLOOKUP(F110,'SELECT KELAS GASAL'!C$8:N$181,2,FALSE))</f>
        <v>INF-55201-103</v>
      </c>
      <c r="I110" s="98" t="str">
        <f>IF(F110="","",VLOOKUP(F110,'SELECT KELAS GASAL'!C$8:N$181,3,FALSE))</f>
        <v>Dasar  Pemrograman*</v>
      </c>
      <c r="J110" s="52" t="str">
        <f>IF(F110="","",VLOOKUP(F110,'SELECT KELAS GASAL'!C$8:N$181,12,FALSE))</f>
        <v>HS</v>
      </c>
      <c r="K110" s="52" t="str">
        <f>IF(F110="","",VLOOKUP(F110,'SELECT KELAS GASAL'!C$8:N$181,8,FALSE))</f>
        <v>HS</v>
      </c>
      <c r="L110" s="52" t="str">
        <f>IF(F110="","",VLOOKUP(F110,'SELECT KELAS GASAL'!C$8:N$181,10,FALSE))</f>
        <v>-</v>
      </c>
      <c r="M110" s="52" t="str">
        <f>IF(F110="","",VLOOKUP(F110,'SELECT KELAS GASAL'!C$8:N$181,6,FALSE))</f>
        <v>B</v>
      </c>
      <c r="N110" s="52">
        <f>IF(F110="","",VLOOKUP(F110,'SELECT KELAS GASAL'!C$8:N$181,4,FALSE))</f>
        <v>1</v>
      </c>
      <c r="O110" s="52">
        <f>IF(F110="","",VLOOKUP(F110,'SELECT KELAS GASAL'!C$8:N$181,5,FALSE))</f>
        <v>4</v>
      </c>
      <c r="P110" s="52">
        <f>IF(F110="","",VLOOKUP(F110,'SELECT KELAS GASAL'!C$8:X$181,22,FALSE))</f>
        <v>35</v>
      </c>
      <c r="Q110" s="98" t="str">
        <f>IF(F110="","",VLOOKUP(F110,'SELECT KELAS GASAL'!C$8:N$181,11,FALSE))</f>
        <v>Dr. Herry Sujaini, S.T., M.T.</v>
      </c>
      <c r="R110" s="52" t="s">
        <v>173</v>
      </c>
    </row>
    <row r="111" spans="2:18" ht="34.950000000000003" customHeight="1" x14ac:dyDescent="0.3">
      <c r="B111" s="272"/>
      <c r="C111" s="51">
        <v>0.38541666666666669</v>
      </c>
      <c r="D111" s="51" t="str">
        <f t="shared" si="5"/>
        <v>s/d</v>
      </c>
      <c r="E111" s="51">
        <f t="shared" si="6"/>
        <v>0.45486111111111116</v>
      </c>
      <c r="F111" s="101" t="s">
        <v>368</v>
      </c>
      <c r="G111" s="115" t="s">
        <v>394</v>
      </c>
      <c r="H111" s="52" t="str">
        <f>IF(F111="","",VLOOKUP(F111,'SELECT KELAS GASAL'!C$8:N$181,2,FALSE))</f>
        <v>INF-55201-302</v>
      </c>
      <c r="I111" s="98" t="str">
        <f>IF(F111="","",VLOOKUP(F111,'SELECT KELAS GASAL'!C$8:N$181,3,FALSE))</f>
        <v>Pemrograman  Web *</v>
      </c>
      <c r="J111" s="52" t="str">
        <f>IF(F111="","",VLOOKUP(F111,'SELECT KELAS GASAL'!C$8:N$181,12,FALSE))</f>
        <v>EE / FA</v>
      </c>
      <c r="K111" s="52" t="str">
        <f>IF(F111="","",VLOOKUP(F111,'SELECT KELAS GASAL'!C$8:N$181,8,FALSE))</f>
        <v>EE</v>
      </c>
      <c r="L111" s="52" t="str">
        <f>IF(F111="","",VLOOKUP(F111,'SELECT KELAS GASAL'!C$8:N$181,10,FALSE))</f>
        <v>FA</v>
      </c>
      <c r="M111" s="52" t="str">
        <f>IF(F111="","",VLOOKUP(F111,'SELECT KELAS GASAL'!C$8:N$181,6,FALSE))</f>
        <v>C</v>
      </c>
      <c r="N111" s="52">
        <f>IF(F111="","",VLOOKUP(F111,'SELECT KELAS GASAL'!C$8:N$181,4,FALSE))</f>
        <v>5</v>
      </c>
      <c r="O111" s="52">
        <f>IF(F111="","",VLOOKUP(F111,'SELECT KELAS GASAL'!C$8:N$181,5,FALSE))</f>
        <v>4</v>
      </c>
      <c r="P111" s="52">
        <f>IF(F111="","",VLOOKUP(F111,'SELECT KELAS GASAL'!C$8:X$181,22,FALSE))</f>
        <v>25</v>
      </c>
      <c r="Q111" s="98" t="str">
        <f>IF(F111="","",VLOOKUP(F111,'SELECT KELAS GASAL'!C$8:N$181,11,FALSE))</f>
        <v>Enda Esyudha Pratama, S.T., M.T. / Fauzan Asrin, S.Kom, M. Kom.</v>
      </c>
      <c r="R111" s="52" t="s">
        <v>173</v>
      </c>
    </row>
    <row r="112" spans="2:18" ht="34.950000000000003" customHeight="1" x14ac:dyDescent="0.3">
      <c r="B112" s="272"/>
      <c r="C112" s="51">
        <v>0.38541666666666669</v>
      </c>
      <c r="D112" s="51" t="str">
        <f t="shared" si="5"/>
        <v>s/d</v>
      </c>
      <c r="E112" s="51">
        <f t="shared" si="6"/>
        <v>0.45486111111111116</v>
      </c>
      <c r="F112" s="101" t="s">
        <v>389</v>
      </c>
      <c r="G112" s="115" t="s">
        <v>394</v>
      </c>
      <c r="H112" s="52" t="str">
        <f>IF(F112="","",VLOOKUP(F112,'SELECT KELAS GASAL'!C$8:N$181,2,FALSE))</f>
        <v>INF-55201-104</v>
      </c>
      <c r="I112" s="98" t="str">
        <f>IF(F112="","",VLOOKUP(F112,'SELECT KELAS GASAL'!C$8:N$181,3,FALSE))</f>
        <v>Pengantar Teknik Informatika</v>
      </c>
      <c r="J112" s="52" t="str">
        <f>IF(F112="","",VLOOKUP(F112,'SELECT KELAS GASAL'!C$8:N$181,12,FALSE))</f>
        <v>HA</v>
      </c>
      <c r="K112" s="52" t="str">
        <f>IF(F112="","",VLOOKUP(F112,'SELECT KELAS GASAL'!C$8:N$181,8,FALSE))</f>
        <v>HA</v>
      </c>
      <c r="L112" s="52" t="str">
        <f>IF(F112="","",VLOOKUP(F112,'SELECT KELAS GASAL'!C$8:N$181,10,FALSE))</f>
        <v>-</v>
      </c>
      <c r="M112" s="52" t="str">
        <f>IF(F112="","",VLOOKUP(F112,'SELECT KELAS GASAL'!C$8:N$181,6,FALSE))</f>
        <v>C</v>
      </c>
      <c r="N112" s="52">
        <f>IF(F112="","",VLOOKUP(F112,'SELECT KELAS GASAL'!C$8:N$181,4,FALSE))</f>
        <v>1</v>
      </c>
      <c r="O112" s="52">
        <f>IF(F112="","",VLOOKUP(F112,'SELECT KELAS GASAL'!C$8:N$181,5,FALSE))</f>
        <v>2</v>
      </c>
      <c r="P112" s="52">
        <f>IF(F112="","",VLOOKUP(F112,'SELECT KELAS GASAL'!C$8:X$181,22,FALSE))</f>
        <v>35</v>
      </c>
      <c r="Q112" s="98" t="str">
        <f>IF(F112="","",VLOOKUP(F112,'SELECT KELAS GASAL'!C$8:N$181,11,FALSE))</f>
        <v>H. Hengky Anra, S.T., M.Kom</v>
      </c>
      <c r="R112" s="52" t="s">
        <v>173</v>
      </c>
    </row>
    <row r="113" spans="2:18" ht="34.950000000000003" customHeight="1" x14ac:dyDescent="0.3">
      <c r="B113" s="272"/>
      <c r="C113" s="51">
        <v>0.38541666666666669</v>
      </c>
      <c r="D113" s="51" t="str">
        <f t="shared" si="5"/>
        <v>s/d</v>
      </c>
      <c r="E113" s="51">
        <f t="shared" si="6"/>
        <v>0.45486111111111116</v>
      </c>
      <c r="F113" s="101" t="s">
        <v>421</v>
      </c>
      <c r="G113" s="115"/>
      <c r="H113" s="52" t="str">
        <f>IF(F113="","",VLOOKUP(F113,'SELECT KELAS GASAL'!C$8:N$181,2,FALSE))</f>
        <v>INF-55201-311</v>
      </c>
      <c r="I113" s="98" t="str">
        <f>IF(F113="","",VLOOKUP(F113,'SELECT KELAS GASAL'!C$8:N$181,3,FALSE))</f>
        <v>Riset Operasi</v>
      </c>
      <c r="J113" s="52" t="str">
        <f>IF(F113="","",VLOOKUP(F113,'SELECT KELAS GASAL'!C$8:N$181,12,FALSE))</f>
        <v>EFR / KH</v>
      </c>
      <c r="K113" s="52" t="str">
        <f>IF(F113="","",VLOOKUP(F113,'SELECT KELAS GASAL'!C$8:N$181,8,FALSE))</f>
        <v>EFR</v>
      </c>
      <c r="L113" s="52" t="str">
        <f>IF(F113="","",VLOOKUP(F113,'SELECT KELAS GASAL'!C$8:N$181,10,FALSE))</f>
        <v>KH</v>
      </c>
      <c r="M113" s="52" t="str">
        <f>IF(F113="","",VLOOKUP(F113,'SELECT KELAS GASAL'!C$8:N$181,6,FALSE))</f>
        <v>B</v>
      </c>
      <c r="N113" s="52">
        <f>IF(F113="","",VLOOKUP(F113,'SELECT KELAS GASAL'!C$8:N$181,4,FALSE))</f>
        <v>5</v>
      </c>
      <c r="O113" s="52">
        <f>IF(F113="","",VLOOKUP(F113,'SELECT KELAS GASAL'!C$8:N$181,5,FALSE))</f>
        <v>2</v>
      </c>
      <c r="P113" s="52">
        <f>IF(F113="","",VLOOKUP(F113,'SELECT KELAS GASAL'!C$8:X$181,22,FALSE))</f>
        <v>20</v>
      </c>
      <c r="Q113" s="98" t="str">
        <f>IF(F113="","",VLOOKUP(F113,'SELECT KELAS GASAL'!C$8:N$181,11,FALSE))</f>
        <v>Eva Faja Ripanti, S.Kom, MMSI, Ph.D / Khairul Hafidh, S.T., M.Kom.</v>
      </c>
      <c r="R113" s="52" t="s">
        <v>173</v>
      </c>
    </row>
    <row r="114" spans="2:18" ht="34.799999999999997" customHeight="1" x14ac:dyDescent="0.3">
      <c r="B114" s="272"/>
      <c r="C114" s="51"/>
      <c r="D114" s="51" t="str">
        <f t="shared" si="5"/>
        <v/>
      </c>
      <c r="E114" s="51" t="str">
        <f t="shared" si="6"/>
        <v/>
      </c>
      <c r="F114" s="101"/>
      <c r="G114" s="115" t="s">
        <v>394</v>
      </c>
      <c r="H114" s="52" t="str">
        <f>IF(F114="","",VLOOKUP(F114,'SELECT KELAS GASAL'!C$8:N$181,2,FALSE))</f>
        <v/>
      </c>
      <c r="I114" s="98" t="str">
        <f>IF(F114="","",VLOOKUP(F114,'SELECT KELAS GASAL'!C$8:N$181,3,FALSE))</f>
        <v/>
      </c>
      <c r="J114" s="52" t="str">
        <f>IF(F114="","",VLOOKUP(F114,'SELECT KELAS GASAL'!C$8:N$181,12,FALSE))</f>
        <v/>
      </c>
      <c r="K114" s="52" t="str">
        <f>IF(F114="","",VLOOKUP(F114,'SELECT KELAS GASAL'!C$8:N$181,8,FALSE))</f>
        <v/>
      </c>
      <c r="L114" s="52" t="str">
        <f>IF(F114="","",VLOOKUP(F114,'SELECT KELAS GASAL'!C$8:N$181,10,FALSE))</f>
        <v/>
      </c>
      <c r="M114" s="52" t="str">
        <f>IF(F114="","",VLOOKUP(F114,'SELECT KELAS GASAL'!C$8:N$181,6,FALSE))</f>
        <v/>
      </c>
      <c r="N114" s="52" t="str">
        <f>IF(F114="","",VLOOKUP(F114,'SELECT KELAS GASAL'!C$8:N$181,4,FALSE))</f>
        <v/>
      </c>
      <c r="O114" s="52" t="str">
        <f>IF(F114="","",VLOOKUP(F114,'SELECT KELAS GASAL'!C$8:N$181,5,FALSE))</f>
        <v/>
      </c>
      <c r="P114" s="52" t="str">
        <f>IF(F114="","",VLOOKUP(F114,'SELECT KELAS GASAL'!C$8:X$181,22,FALSE))</f>
        <v/>
      </c>
      <c r="Q114" s="98" t="str">
        <f>IF(F114="","",VLOOKUP(F114,'SELECT KELAS GASAL'!C$8:N$181,11,FALSE))</f>
        <v/>
      </c>
      <c r="R114" s="53"/>
    </row>
    <row r="115" spans="2:18" ht="34.950000000000003" customHeight="1" x14ac:dyDescent="0.3">
      <c r="B115" s="272"/>
      <c r="C115" s="51">
        <v>0.5625</v>
      </c>
      <c r="D115" s="51" t="str">
        <f t="shared" si="5"/>
        <v>s/d</v>
      </c>
      <c r="E115" s="51">
        <f t="shared" si="6"/>
        <v>0.63194444444444442</v>
      </c>
      <c r="F115" s="101" t="s">
        <v>321</v>
      </c>
      <c r="G115" s="115" t="s">
        <v>394</v>
      </c>
      <c r="H115" s="52" t="str">
        <f>IF(F115="","",VLOOKUP(F115,'SELECT KELAS GASAL'!C$8:N$181,2,FALSE))</f>
        <v>INF-55201-206</v>
      </c>
      <c r="I115" s="98" t="str">
        <f>IF(F115="","",VLOOKUP(F115,'SELECT KELAS GASAL'!C$8:N$181,3,FALSE))</f>
        <v>Strategi Algoritma*</v>
      </c>
      <c r="J115" s="52" t="str">
        <f>IF(F115="","",VLOOKUP(F115,'SELECT KELAS GASAL'!C$8:N$181,12,FALSE))</f>
        <v>ABP</v>
      </c>
      <c r="K115" s="52" t="str">
        <f>IF(F115="","",VLOOKUP(F115,'SELECT KELAS GASAL'!C$8:N$181,8,FALSE))</f>
        <v>ABP</v>
      </c>
      <c r="L115" s="52" t="str">
        <f>IF(F115="","",VLOOKUP(F115,'SELECT KELAS GASAL'!C$8:N$181,10,FALSE))</f>
        <v>-</v>
      </c>
      <c r="M115" s="52" t="str">
        <f>IF(F115="","",VLOOKUP(F115,'SELECT KELAS GASAL'!C$8:N$181,6,FALSE))</f>
        <v>A</v>
      </c>
      <c r="N115" s="52">
        <f>IF(F115="","",VLOOKUP(F115,'SELECT KELAS GASAL'!C$8:N$181,4,FALSE))</f>
        <v>3</v>
      </c>
      <c r="O115" s="52">
        <f>IF(F115="","",VLOOKUP(F115,'SELECT KELAS GASAL'!C$8:N$181,5,FALSE))</f>
        <v>4</v>
      </c>
      <c r="P115" s="52">
        <f>IF(F115="","",VLOOKUP(F115,'SELECT KELAS GASAL'!C$8:X$181,22,FALSE))</f>
        <v>25</v>
      </c>
      <c r="Q115" s="98" t="str">
        <f>IF(F115="","",VLOOKUP(F115,'SELECT KELAS GASAL'!C$8:N$181,11,FALSE))</f>
        <v>Dr. Arif BPN, S.T., M.T.</v>
      </c>
      <c r="R115" s="52" t="s">
        <v>173</v>
      </c>
    </row>
    <row r="116" spans="2:18" ht="34.950000000000003" customHeight="1" x14ac:dyDescent="0.3">
      <c r="B116" s="272"/>
      <c r="C116" s="51">
        <v>0.5625</v>
      </c>
      <c r="D116" s="51" t="str">
        <f t="shared" si="5"/>
        <v>s/d</v>
      </c>
      <c r="E116" s="51">
        <f t="shared" si="6"/>
        <v>0.63194444444444442</v>
      </c>
      <c r="F116" s="101" t="s">
        <v>392</v>
      </c>
      <c r="G116" s="124" t="s">
        <v>394</v>
      </c>
      <c r="H116" s="52" t="str">
        <f>IF(F116="","",VLOOKUP(F116,'SELECT KELAS GASAL'!C$8:N$181,2,FALSE))</f>
        <v>INF-55201-310</v>
      </c>
      <c r="I116" s="98" t="str">
        <f>IF(F116="","",VLOOKUP(F116,'SELECT KELAS GASAL'!C$8:N$181,3,FALSE))</f>
        <v>Penulisan Proposal  Tugas  Akhir  </v>
      </c>
      <c r="J116" s="52" t="str">
        <f>IF(F116="","",VLOOKUP(F116,'SELECT KELAS GASAL'!C$8:N$181,12,FALSE))</f>
        <v>YS</v>
      </c>
      <c r="K116" s="52" t="str">
        <f>IF(F116="","",VLOOKUP(F116,'SELECT KELAS GASAL'!C$8:N$181,8,FALSE))</f>
        <v>YS</v>
      </c>
      <c r="L116" s="52" t="str">
        <f>IF(F116="","",VLOOKUP(F116,'SELECT KELAS GASAL'!C$8:N$181,10,FALSE))</f>
        <v>-</v>
      </c>
      <c r="M116" s="52" t="str">
        <f>IF(F116="","",VLOOKUP(F116,'SELECT KELAS GASAL'!C$8:N$181,6,FALSE))</f>
        <v>B</v>
      </c>
      <c r="N116" s="52">
        <f>IF(F116="","",VLOOKUP(F116,'SELECT KELAS GASAL'!C$8:N$181,4,FALSE))</f>
        <v>5</v>
      </c>
      <c r="O116" s="52">
        <f>IF(F116="","",VLOOKUP(F116,'SELECT KELAS GASAL'!C$8:N$181,5,FALSE))</f>
        <v>2</v>
      </c>
      <c r="P116" s="52">
        <f>IF(F116="","",VLOOKUP(F116,'SELECT KELAS GASAL'!C$8:X$181,22,FALSE))</f>
        <v>20</v>
      </c>
      <c r="Q116" s="98" t="str">
        <f>IF(F116="","",VLOOKUP(F116,'SELECT KELAS GASAL'!C$8:N$181,11,FALSE))</f>
        <v>Dr. Yus Sholva, S.T., M.T.</v>
      </c>
      <c r="R116" s="52" t="s">
        <v>173</v>
      </c>
    </row>
    <row r="117" spans="2:18" ht="34.950000000000003" customHeight="1" x14ac:dyDescent="0.3">
      <c r="B117" s="272"/>
      <c r="C117" s="51">
        <v>0.5625</v>
      </c>
      <c r="D117" s="51" t="str">
        <f t="shared" si="5"/>
        <v>s/d</v>
      </c>
      <c r="E117" s="51">
        <f t="shared" si="6"/>
        <v>0.63194444444444442</v>
      </c>
      <c r="F117" s="101" t="s">
        <v>390</v>
      </c>
      <c r="G117" s="115" t="s">
        <v>394</v>
      </c>
      <c r="H117" s="52" t="str">
        <f>IF(F117="","",VLOOKUP(F117,'SELECT KELAS GASAL'!C$8:N$181,2,FALSE))</f>
        <v>INF-55201-201</v>
      </c>
      <c r="I117" s="98" t="str">
        <f>IF(F117="","",VLOOKUP(F117,'SELECT KELAS GASAL'!C$8:N$181,3,FALSE))</f>
        <v>Perancangan Basis Data</v>
      </c>
      <c r="J117" s="52" t="str">
        <f>IF(F117="","",VLOOKUP(F117,'SELECT KELAS GASAL'!C$8:N$181,12,FALSE))</f>
        <v>YL / DIU</v>
      </c>
      <c r="K117" s="52" t="str">
        <f>IF(F117="","",VLOOKUP(F117,'SELECT KELAS GASAL'!C$8:N$181,8,FALSE))</f>
        <v>YL</v>
      </c>
      <c r="L117" s="52" t="str">
        <f>IF(F117="","",VLOOKUP(F117,'SELECT KELAS GASAL'!C$8:N$181,10,FALSE))</f>
        <v>DIU</v>
      </c>
      <c r="M117" s="52" t="str">
        <f>IF(F117="","",VLOOKUP(F117,'SELECT KELAS GASAL'!C$8:N$181,6,FALSE))</f>
        <v>C</v>
      </c>
      <c r="N117" s="52">
        <f>IF(F117="","",VLOOKUP(F117,'SELECT KELAS GASAL'!C$8:N$181,4,FALSE))</f>
        <v>3</v>
      </c>
      <c r="O117" s="52">
        <f>IF(F117="","",VLOOKUP(F117,'SELECT KELAS GASAL'!C$8:N$181,5,FALSE))</f>
        <v>2</v>
      </c>
      <c r="P117" s="52">
        <f>IF(F117="","",VLOOKUP(F117,'SELECT KELAS GASAL'!C$8:X$181,22,FALSE))</f>
        <v>20</v>
      </c>
      <c r="Q117" s="98" t="str">
        <f>IF(F117="","",VLOOKUP(F117,'SELECT KELAS GASAL'!C$8:N$181,11,FALSE))</f>
        <v>Yulianti,S.Kom, MMSI / Desepta Isna Ulumi, S.Kom, M.Kom.</v>
      </c>
      <c r="R117" s="52" t="s">
        <v>173</v>
      </c>
    </row>
    <row r="118" spans="2:18" ht="34.799999999999997" customHeight="1" x14ac:dyDescent="0.3">
      <c r="B118" s="272"/>
      <c r="C118" s="51">
        <v>0.5625</v>
      </c>
      <c r="D118" s="51" t="str">
        <f t="shared" si="5"/>
        <v>s/d</v>
      </c>
      <c r="E118" s="51">
        <f t="shared" si="6"/>
        <v>0.63194444444444442</v>
      </c>
      <c r="F118" s="101" t="s">
        <v>368</v>
      </c>
      <c r="G118" s="115" t="s">
        <v>394</v>
      </c>
      <c r="H118" s="52" t="str">
        <f>IF(F118="","",VLOOKUP(F118,'SELECT KELAS GASAL'!C$8:N$181,2,FALSE))</f>
        <v>INF-55201-302</v>
      </c>
      <c r="I118" s="98" t="str">
        <f>IF(F118="","",VLOOKUP(F118,'SELECT KELAS GASAL'!C$8:N$181,3,FALSE))</f>
        <v>Pemrograman  Web *</v>
      </c>
      <c r="J118" s="52" t="str">
        <f>IF(F118="","",VLOOKUP(F118,'SELECT KELAS GASAL'!C$8:N$181,12,FALSE))</f>
        <v>EE / FA</v>
      </c>
      <c r="K118" s="52" t="str">
        <f>IF(F118="","",VLOOKUP(F118,'SELECT KELAS GASAL'!C$8:N$181,8,FALSE))</f>
        <v>EE</v>
      </c>
      <c r="L118" s="52" t="str">
        <f>IF(F118="","",VLOOKUP(F118,'SELECT KELAS GASAL'!C$8:N$181,10,FALSE))</f>
        <v>FA</v>
      </c>
      <c r="M118" s="52" t="str">
        <f>IF(F118="","",VLOOKUP(F118,'SELECT KELAS GASAL'!C$8:N$181,6,FALSE))</f>
        <v>C</v>
      </c>
      <c r="N118" s="52">
        <f>IF(F118="","",VLOOKUP(F118,'SELECT KELAS GASAL'!C$8:N$181,4,FALSE))</f>
        <v>5</v>
      </c>
      <c r="O118" s="52">
        <f>IF(F118="","",VLOOKUP(F118,'SELECT KELAS GASAL'!C$8:N$181,5,FALSE))</f>
        <v>4</v>
      </c>
      <c r="P118" s="52">
        <f>IF(F118="","",VLOOKUP(F118,'SELECT KELAS GASAL'!C$8:X$181,22,FALSE))</f>
        <v>25</v>
      </c>
      <c r="Q118" s="98" t="str">
        <f>IF(F118="","",VLOOKUP(F118,'SELECT KELAS GASAL'!C$8:N$181,11,FALSE))</f>
        <v>Enda Esyudha Pratama, S.T., M.T. / Fauzan Asrin, S.Kom, M. Kom.</v>
      </c>
      <c r="R118" s="52" t="s">
        <v>173</v>
      </c>
    </row>
    <row r="119" spans="2:18" ht="34.950000000000003" customHeight="1" x14ac:dyDescent="0.3">
      <c r="B119" s="272"/>
      <c r="C119" s="51"/>
      <c r="D119" s="51" t="str">
        <f t="shared" si="5"/>
        <v/>
      </c>
      <c r="E119" s="51" t="str">
        <f t="shared" si="6"/>
        <v/>
      </c>
      <c r="F119" s="101"/>
      <c r="G119" s="115" t="s">
        <v>394</v>
      </c>
      <c r="H119" s="52" t="str">
        <f>IF(F119="","",VLOOKUP(F119,'SELECT KELAS GASAL'!C$8:N$181,2,FALSE))</f>
        <v/>
      </c>
      <c r="I119" s="98" t="str">
        <f>IF(F119="","",VLOOKUP(F119,'SELECT KELAS GASAL'!C$8:N$181,3,FALSE))</f>
        <v/>
      </c>
      <c r="J119" s="52" t="str">
        <f>IF(F119="","",VLOOKUP(F119,'SELECT KELAS GASAL'!C$8:N$181,12,FALSE))</f>
        <v/>
      </c>
      <c r="K119" s="52" t="str">
        <f>IF(F119="","",VLOOKUP(F119,'SELECT KELAS GASAL'!C$8:N$181,8,FALSE))</f>
        <v/>
      </c>
      <c r="L119" s="52" t="str">
        <f>IF(F119="","",VLOOKUP(F119,'SELECT KELAS GASAL'!C$8:N$181,10,FALSE))</f>
        <v/>
      </c>
      <c r="M119" s="52" t="str">
        <f>IF(F119="","",VLOOKUP(F119,'SELECT KELAS GASAL'!C$8:N$181,6,FALSE))</f>
        <v/>
      </c>
      <c r="N119" s="52" t="str">
        <f>IF(F119="","",VLOOKUP(F119,'SELECT KELAS GASAL'!C$8:N$181,4,FALSE))</f>
        <v/>
      </c>
      <c r="O119" s="52" t="str">
        <f>IF(F119="","",VLOOKUP(F119,'SELECT KELAS GASAL'!C$8:N$181,5,FALSE))</f>
        <v/>
      </c>
      <c r="P119" s="52" t="str">
        <f>IF(F119="","",VLOOKUP(F119,'SELECT KELAS GASAL'!C$8:X$181,22,FALSE))</f>
        <v/>
      </c>
      <c r="Q119" s="98" t="str">
        <f>IF(F119="","",VLOOKUP(F119,'SELECT KELAS GASAL'!C$8:N$181,11,FALSE))</f>
        <v/>
      </c>
      <c r="R119" s="52"/>
    </row>
    <row r="120" spans="2:18" ht="34.950000000000003" customHeight="1" x14ac:dyDescent="0.3">
      <c r="B120" s="272"/>
      <c r="C120" s="51">
        <v>0.63888888888888895</v>
      </c>
      <c r="D120" s="51" t="str">
        <f t="shared" si="5"/>
        <v>s/d</v>
      </c>
      <c r="E120" s="51">
        <f t="shared" si="6"/>
        <v>0.70833333333333337</v>
      </c>
      <c r="F120" s="101" t="s">
        <v>321</v>
      </c>
      <c r="G120" s="115" t="s">
        <v>394</v>
      </c>
      <c r="H120" s="52" t="str">
        <f>IF(F120="","",VLOOKUP(F120,'SELECT KELAS GASAL'!C$8:N$181,2,FALSE))</f>
        <v>INF-55201-206</v>
      </c>
      <c r="I120" s="98" t="str">
        <f>IF(F120="","",VLOOKUP(F120,'SELECT KELAS GASAL'!C$8:N$181,3,FALSE))</f>
        <v>Strategi Algoritma*</v>
      </c>
      <c r="J120" s="52" t="str">
        <f>IF(F120="","",VLOOKUP(F120,'SELECT KELAS GASAL'!C$8:N$181,12,FALSE))</f>
        <v>ABP</v>
      </c>
      <c r="K120" s="52" t="str">
        <f>IF(F120="","",VLOOKUP(F120,'SELECT KELAS GASAL'!C$8:N$181,8,FALSE))</f>
        <v>ABP</v>
      </c>
      <c r="L120" s="52" t="str">
        <f>IF(F120="","",VLOOKUP(F120,'SELECT KELAS GASAL'!C$8:N$181,10,FALSE))</f>
        <v>-</v>
      </c>
      <c r="M120" s="52" t="str">
        <f>IF(F120="","",VLOOKUP(F120,'SELECT KELAS GASAL'!C$8:N$181,6,FALSE))</f>
        <v>A</v>
      </c>
      <c r="N120" s="52">
        <f>IF(F120="","",VLOOKUP(F120,'SELECT KELAS GASAL'!C$8:N$181,4,FALSE))</f>
        <v>3</v>
      </c>
      <c r="O120" s="52">
        <f>IF(F120="","",VLOOKUP(F120,'SELECT KELAS GASAL'!C$8:N$181,5,FALSE))</f>
        <v>4</v>
      </c>
      <c r="P120" s="52">
        <f>IF(F120="","",VLOOKUP(F120,'SELECT KELAS GASAL'!C$8:X$181,22,FALSE))</f>
        <v>25</v>
      </c>
      <c r="Q120" s="98" t="str">
        <f>IF(F120="","",VLOOKUP(F120,'SELECT KELAS GASAL'!C$8:N$181,11,FALSE))</f>
        <v>Dr. Arif BPN, S.T., M.T.</v>
      </c>
      <c r="R120" s="52" t="s">
        <v>173</v>
      </c>
    </row>
    <row r="121" spans="2:18" ht="34.950000000000003" customHeight="1" x14ac:dyDescent="0.3">
      <c r="B121" s="272"/>
      <c r="C121" s="51">
        <v>0.63888888888888895</v>
      </c>
      <c r="D121" s="51" t="str">
        <f t="shared" si="5"/>
        <v>s/d</v>
      </c>
      <c r="E121" s="51">
        <f t="shared" si="6"/>
        <v>0.70833333333333337</v>
      </c>
      <c r="F121" s="101" t="s">
        <v>402</v>
      </c>
      <c r="G121" s="115" t="s">
        <v>394</v>
      </c>
      <c r="H121" s="52" t="str">
        <f>IF(F121="","",VLOOKUP(F121,'SELECT KELAS GASAL'!C$8:N$181,2,FALSE))</f>
        <v>INF-55201-202</v>
      </c>
      <c r="I121" s="98" t="str">
        <f>IF(F121="","",VLOOKUP(F121,'SELECT KELAS GASAL'!C$8:N$181,3,FALSE))</f>
        <v>Teori  Graf  </v>
      </c>
      <c r="J121" s="52" t="str">
        <f>IF(F121="","",VLOOKUP(F121,'SELECT KELAS GASAL'!C$8:N$181,12,FALSE))</f>
        <v>HN / AAJ</v>
      </c>
      <c r="K121" s="52" t="str">
        <f>IF(F121="","",VLOOKUP(F121,'SELECT KELAS GASAL'!C$8:N$181,8,FALSE))</f>
        <v>HN</v>
      </c>
      <c r="L121" s="52" t="str">
        <f>IF(F121="","",VLOOKUP(F121,'SELECT KELAS GASAL'!C$8:N$181,10,FALSE))</f>
        <v>AAJ</v>
      </c>
      <c r="M121" s="52" t="str">
        <f>IF(F121="","",VLOOKUP(F121,'SELECT KELAS GASAL'!C$8:N$181,6,FALSE))</f>
        <v>C</v>
      </c>
      <c r="N121" s="52">
        <f>IF(F121="","",VLOOKUP(F121,'SELECT KELAS GASAL'!C$8:N$181,4,FALSE))</f>
        <v>3</v>
      </c>
      <c r="O121" s="52">
        <f>IF(F121="","",VLOOKUP(F121,'SELECT KELAS GASAL'!C$8:N$181,5,FALSE))</f>
        <v>2</v>
      </c>
      <c r="P121" s="52">
        <f>IF(F121="","",VLOOKUP(F121,'SELECT KELAS GASAL'!C$8:X$181,22,FALSE))</f>
        <v>25</v>
      </c>
      <c r="Q121" s="98" t="str">
        <f>IF(F121="","",VLOOKUP(F121,'SELECT KELAS GASAL'!C$8:N$181,11,FALSE))</f>
        <v>Haried Novriando, S.Kom, M.Eng / Alfian Abdul Jalid, S.Kom., M.Cs.</v>
      </c>
      <c r="R121" s="52" t="s">
        <v>173</v>
      </c>
    </row>
    <row r="122" spans="2:18" ht="34.950000000000003" customHeight="1" x14ac:dyDescent="0.3">
      <c r="B122" s="272"/>
      <c r="C122" s="51">
        <v>0.63888888888888895</v>
      </c>
      <c r="D122" s="51" t="str">
        <f t="shared" si="5"/>
        <v>s/d</v>
      </c>
      <c r="E122" s="51">
        <f t="shared" si="6"/>
        <v>0.70833333333333337</v>
      </c>
      <c r="F122" s="101" t="s">
        <v>405</v>
      </c>
      <c r="G122" s="115" t="s">
        <v>394</v>
      </c>
      <c r="H122" s="52" t="str">
        <f>IF(F122="","",VLOOKUP(F122,'SELECT KELAS GASAL'!C$8:N$181,2,FALSE))</f>
        <v>INF-55201-206</v>
      </c>
      <c r="I122" s="98" t="str">
        <f>IF(F122="","",VLOOKUP(F122,'SELECT KELAS GASAL'!C$8:N$181,3,FALSE))</f>
        <v>Strategi Algoritma*</v>
      </c>
      <c r="J122" s="52" t="str">
        <f>IF(F122="","",VLOOKUP(F122,'SELECT KELAS GASAL'!C$8:N$181,12,FALSE))</f>
        <v>TZ / FA</v>
      </c>
      <c r="K122" s="52" t="str">
        <f>IF(F122="","",VLOOKUP(F122,'SELECT KELAS GASAL'!C$8:N$181,8,FALSE))</f>
        <v>TZ</v>
      </c>
      <c r="L122" s="52" t="str">
        <f>IF(F122="","",VLOOKUP(F122,'SELECT KELAS GASAL'!C$8:N$181,10,FALSE))</f>
        <v>FA</v>
      </c>
      <c r="M122" s="52" t="str">
        <f>IF(F122="","",VLOOKUP(F122,'SELECT KELAS GASAL'!C$8:N$181,6,FALSE))</f>
        <v>B</v>
      </c>
      <c r="N122" s="52">
        <f>IF(F122="","",VLOOKUP(F122,'SELECT KELAS GASAL'!C$8:N$181,4,FALSE))</f>
        <v>3</v>
      </c>
      <c r="O122" s="52">
        <f>IF(F122="","",VLOOKUP(F122,'SELECT KELAS GASAL'!C$8:N$181,5,FALSE))</f>
        <v>4</v>
      </c>
      <c r="P122" s="52">
        <f>IF(F122="","",VLOOKUP(F122,'SELECT KELAS GASAL'!C$8:X$181,22,FALSE))</f>
        <v>25</v>
      </c>
      <c r="Q122" s="98" t="str">
        <f>IF(F122="","",VLOOKUP(F122,'SELECT KELAS GASAL'!C$8:N$181,11,FALSE))</f>
        <v>Morteza Muthahhari, S.Kom., M.T.I / Fauzan Asrin, S.Kom, M. Kom.</v>
      </c>
      <c r="R122" s="52" t="s">
        <v>173</v>
      </c>
    </row>
    <row r="123" spans="2:18" ht="34.950000000000003" customHeight="1" x14ac:dyDescent="0.3">
      <c r="B123" s="272"/>
      <c r="C123" s="51">
        <v>0.63888888888888895</v>
      </c>
      <c r="D123" s="51" t="str">
        <f t="shared" si="5"/>
        <v>s/d</v>
      </c>
      <c r="E123" s="51">
        <f t="shared" si="6"/>
        <v>0.70833333333333337</v>
      </c>
      <c r="F123" s="101" t="s">
        <v>313</v>
      </c>
      <c r="G123" s="115" t="s">
        <v>394</v>
      </c>
      <c r="H123" s="52" t="str">
        <f>IF(F123="","",VLOOKUP(F123,'SELECT KELAS GASAL'!C$8:N$181,2,FALSE))</f>
        <v>UMG-55201-103</v>
      </c>
      <c r="I123" s="98" t="str">
        <f>IF(F123="","",VLOOKUP(F123,'SELECT KELAS GASAL'!C$8:N$181,3,FALSE))</f>
        <v>Bahasa  Inggris  </v>
      </c>
      <c r="J123" s="52" t="str">
        <f>IF(F123="","",VLOOKUP(F123,'SELECT KELAS GASAL'!C$8:N$181,12,FALSE))</f>
        <v>MKU</v>
      </c>
      <c r="K123" s="52" t="str">
        <f>IF(F123="","",VLOOKUP(F123,'SELECT KELAS GASAL'!C$8:N$181,8,FALSE))</f>
        <v>MKU</v>
      </c>
      <c r="L123" s="52" t="str">
        <f>IF(F123="","",VLOOKUP(F123,'SELECT KELAS GASAL'!C$8:N$181,10,FALSE))</f>
        <v>-</v>
      </c>
      <c r="M123" s="52" t="str">
        <f>IF(F123="","",VLOOKUP(F123,'SELECT KELAS GASAL'!C$8:N$181,6,FALSE))</f>
        <v>B</v>
      </c>
      <c r="N123" s="52">
        <f>IF(F123="","",VLOOKUP(F123,'SELECT KELAS GASAL'!C$8:N$181,4,FALSE))</f>
        <v>1</v>
      </c>
      <c r="O123" s="52">
        <f>IF(F123="","",VLOOKUP(F123,'SELECT KELAS GASAL'!C$8:N$181,5,FALSE))</f>
        <v>2</v>
      </c>
      <c r="P123" s="52">
        <f>IF(F123="","",VLOOKUP(F123,'SELECT KELAS GASAL'!C$8:X$181,22,FALSE))</f>
        <v>35</v>
      </c>
      <c r="Q123" s="98" t="str">
        <f>IF(F123="","",VLOOKUP(F123,'SELECT KELAS GASAL'!C$8:N$181,11,FALSE))</f>
        <v>MKU</v>
      </c>
      <c r="R123" s="52" t="s">
        <v>173</v>
      </c>
    </row>
    <row r="124" spans="2:18" ht="34.950000000000003" customHeight="1" x14ac:dyDescent="0.3">
      <c r="B124" s="272"/>
      <c r="C124" s="51"/>
      <c r="D124" s="51" t="str">
        <f t="shared" si="5"/>
        <v/>
      </c>
      <c r="E124" s="51" t="str">
        <f t="shared" si="6"/>
        <v/>
      </c>
      <c r="F124" s="101"/>
      <c r="G124" s="115" t="s">
        <v>394</v>
      </c>
      <c r="H124" s="52" t="str">
        <f>IF(F124="","",VLOOKUP(F124,'SELECT KELAS GASAL'!C$8:N$181,2,FALSE))</f>
        <v/>
      </c>
      <c r="I124" s="98" t="str">
        <f>IF(F124="","",VLOOKUP(F124,'SELECT KELAS GASAL'!C$8:N$181,3,FALSE))</f>
        <v/>
      </c>
      <c r="J124" s="52" t="str">
        <f>IF(F124="","",VLOOKUP(F124,'SELECT KELAS GASAL'!C$8:N$181,12,FALSE))</f>
        <v/>
      </c>
      <c r="K124" s="52" t="str">
        <f>IF(F124="","",VLOOKUP(F124,'SELECT KELAS GASAL'!C$8:N$181,8,FALSE))</f>
        <v/>
      </c>
      <c r="L124" s="52" t="str">
        <f>IF(F124="","",VLOOKUP(F124,'SELECT KELAS GASAL'!C$8:N$181,10,FALSE))</f>
        <v/>
      </c>
      <c r="M124" s="52" t="str">
        <f>IF(F124="","",VLOOKUP(F124,'SELECT KELAS GASAL'!C$8:N$181,6,FALSE))</f>
        <v/>
      </c>
      <c r="N124" s="52" t="str">
        <f>IF(F124="","",VLOOKUP(F124,'SELECT KELAS GASAL'!C$8:N$181,4,FALSE))</f>
        <v/>
      </c>
      <c r="O124" s="52" t="str">
        <f>IF(F124="","",VLOOKUP(F124,'SELECT KELAS GASAL'!C$8:N$181,5,FALSE))</f>
        <v/>
      </c>
      <c r="P124" s="52" t="str">
        <f>IF(F124="","",VLOOKUP(F124,'SELECT KELAS GASAL'!C$8:X$181,22,FALSE))</f>
        <v/>
      </c>
      <c r="Q124" s="98" t="str">
        <f>IF(F124="","",VLOOKUP(F124,'SELECT KELAS GASAL'!C$8:N$181,11,FALSE))</f>
        <v/>
      </c>
      <c r="R124" s="53"/>
    </row>
    <row r="125" spans="2:18" ht="15" x14ac:dyDescent="0.3">
      <c r="P125" s="52" t="str">
        <f>IF(F125="","",VLOOKUP(F125,'SELECT KELAS GASAL'!C$8:X$181,22,FALSE))</f>
        <v/>
      </c>
    </row>
  </sheetData>
  <mergeCells count="8">
    <mergeCell ref="B55:B74"/>
    <mergeCell ref="B103:B124"/>
    <mergeCell ref="B76:B100"/>
    <mergeCell ref="C6:E6"/>
    <mergeCell ref="B2:R2"/>
    <mergeCell ref="B3:R3"/>
    <mergeCell ref="B7:B28"/>
    <mergeCell ref="B30:B53"/>
  </mergeCells>
  <phoneticPr fontId="15" type="noConversion"/>
  <conditionalFormatting sqref="M7:M124">
    <cfRule type="cellIs" dxfId="69" priority="24" operator="equal">
      <formula>"E"</formula>
    </cfRule>
    <cfRule type="cellIs" dxfId="68" priority="25" operator="equal">
      <formula>"D"</formula>
    </cfRule>
    <cfRule type="cellIs" dxfId="67" priority="26" operator="equal">
      <formula>"C"</formula>
    </cfRule>
    <cfRule type="cellIs" dxfId="66" priority="27" operator="equal">
      <formula>"B"</formula>
    </cfRule>
    <cfRule type="cellIs" dxfId="65" priority="28" operator="equal">
      <formula>"A"</formula>
    </cfRule>
  </conditionalFormatting>
  <conditionalFormatting sqref="O7:O124">
    <cfRule type="cellIs" dxfId="64" priority="21" operator="equal">
      <formula>2</formula>
    </cfRule>
    <cfRule type="cellIs" dxfId="63" priority="22" operator="equal">
      <formula>4</formula>
    </cfRule>
    <cfRule type="cellIs" dxfId="62" priority="23" operator="equal">
      <formula>3</formula>
    </cfRule>
  </conditionalFormatting>
  <conditionalFormatting sqref="K24:L28">
    <cfRule type="duplicateValues" dxfId="61" priority="18"/>
  </conditionalFormatting>
  <conditionalFormatting sqref="K30:L35">
    <cfRule type="duplicateValues" dxfId="60" priority="17"/>
  </conditionalFormatting>
  <conditionalFormatting sqref="K37:L41">
    <cfRule type="duplicateValues" dxfId="59" priority="16"/>
  </conditionalFormatting>
  <conditionalFormatting sqref="K43:L47">
    <cfRule type="duplicateValues" dxfId="58" priority="15"/>
  </conditionalFormatting>
  <conditionalFormatting sqref="K49:L53">
    <cfRule type="duplicateValues" dxfId="57" priority="14"/>
  </conditionalFormatting>
  <conditionalFormatting sqref="K61:L63">
    <cfRule type="duplicateValues" dxfId="56" priority="12"/>
  </conditionalFormatting>
  <conditionalFormatting sqref="K65:L68">
    <cfRule type="duplicateValues" dxfId="55" priority="11"/>
  </conditionalFormatting>
  <conditionalFormatting sqref="K70:L74">
    <cfRule type="duplicateValues" dxfId="54" priority="10"/>
  </conditionalFormatting>
  <conditionalFormatting sqref="K76:L81">
    <cfRule type="duplicateValues" dxfId="53" priority="9"/>
  </conditionalFormatting>
  <conditionalFormatting sqref="K83:L87">
    <cfRule type="duplicateValues" dxfId="52" priority="8"/>
  </conditionalFormatting>
  <conditionalFormatting sqref="K89:L94">
    <cfRule type="duplicateValues" dxfId="51" priority="7"/>
  </conditionalFormatting>
  <conditionalFormatting sqref="K96:L101">
    <cfRule type="duplicateValues" dxfId="50" priority="6"/>
  </conditionalFormatting>
  <conditionalFormatting sqref="K103:L107">
    <cfRule type="duplicateValues" dxfId="49" priority="5"/>
  </conditionalFormatting>
  <conditionalFormatting sqref="K109:L113">
    <cfRule type="duplicateValues" dxfId="48" priority="4"/>
  </conditionalFormatting>
  <conditionalFormatting sqref="K115:L118">
    <cfRule type="duplicateValues" dxfId="47" priority="3"/>
  </conditionalFormatting>
  <conditionalFormatting sqref="K120:L123">
    <cfRule type="duplicateValues" dxfId="46" priority="2"/>
  </conditionalFormatting>
  <conditionalFormatting sqref="K14:L17">
    <cfRule type="duplicateValues" dxfId="45" priority="45"/>
  </conditionalFormatting>
  <conditionalFormatting sqref="K19:L22">
    <cfRule type="duplicateValues" dxfId="44" priority="62"/>
  </conditionalFormatting>
  <conditionalFormatting sqref="K55:L59">
    <cfRule type="duplicateValues" dxfId="43" priority="79"/>
  </conditionalFormatting>
  <conditionalFormatting sqref="K7:L12">
    <cfRule type="duplicateValues" dxfId="42" priority="1"/>
  </conditionalFormatting>
  <pageMargins left="0.25" right="0.7" top="0.25" bottom="0.75" header="0.3" footer="0.3"/>
  <pageSetup paperSize="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0CCB5A-0E80-4D9B-AD88-CF213C543D57}">
          <x14:formula1>
            <xm:f>'SELECT KELAS GASAL'!$W$8:$W$181</xm:f>
          </x14:formula1>
          <xm:sqref>F7:F124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D078-0B18-4C52-92B7-C32D15B0C03E}">
  <sheetPr>
    <tabColor rgb="FFFFC000"/>
  </sheetPr>
  <dimension ref="A2:Y227"/>
  <sheetViews>
    <sheetView showGridLines="0" topLeftCell="L173" zoomScale="70" zoomScaleNormal="70" workbookViewId="0">
      <selection activeCell="W7" sqref="W7:X177"/>
    </sheetView>
  </sheetViews>
  <sheetFormatPr defaultRowHeight="14.4" x14ac:dyDescent="0.3"/>
  <cols>
    <col min="1" max="1" width="13.6640625" style="12" customWidth="1"/>
    <col min="2" max="2" width="4" style="12" customWidth="1"/>
    <col min="3" max="3" width="32" style="11" customWidth="1"/>
    <col min="4" max="4" width="22.109375" style="12" customWidth="1"/>
    <col min="5" max="5" width="29.33203125" style="12" bestFit="1" customWidth="1"/>
    <col min="6" max="6" width="6.88671875" style="12" bestFit="1" customWidth="1"/>
    <col min="7" max="7" width="8" style="12" customWidth="1"/>
    <col min="8" max="8" width="10.6640625" style="12" customWidth="1"/>
    <col min="9" max="9" width="35.88671875" style="12" bestFit="1" customWidth="1"/>
    <col min="10" max="10" width="14.6640625" style="12" customWidth="1"/>
    <col min="11" max="11" width="36.21875" style="12" customWidth="1"/>
    <col min="12" max="12" width="13.109375" style="12" customWidth="1"/>
    <col min="13" max="13" width="34.44140625" style="12" customWidth="1"/>
    <col min="14" max="14" width="21.77734375" style="12" customWidth="1"/>
    <col min="15" max="15" width="13.33203125" style="12" customWidth="1"/>
    <col min="16" max="20" width="11.109375" style="12" customWidth="1"/>
    <col min="21" max="21" width="16" style="12" customWidth="1"/>
    <col min="22" max="22" width="22.77734375" style="12" customWidth="1"/>
    <col min="23" max="23" width="35.21875" style="12" customWidth="1"/>
    <col min="24" max="24" width="9.21875" style="12" customWidth="1"/>
    <col min="25" max="25" width="3" style="12" customWidth="1"/>
    <col min="26" max="16384" width="8.88671875" style="12"/>
  </cols>
  <sheetData>
    <row r="2" spans="1:25" ht="25.8" x14ac:dyDescent="0.5">
      <c r="A2" s="162" t="s">
        <v>158</v>
      </c>
    </row>
    <row r="3" spans="1:25" ht="35.4" x14ac:dyDescent="0.35">
      <c r="A3" s="47"/>
      <c r="C3" s="23" t="s">
        <v>159</v>
      </c>
      <c r="F3" s="54" t="s">
        <v>180</v>
      </c>
      <c r="I3" s="55" t="s">
        <v>420</v>
      </c>
    </row>
    <row r="4" spans="1:25" ht="34.799999999999997" x14ac:dyDescent="0.3">
      <c r="A4" s="46"/>
      <c r="C4" s="23" t="s">
        <v>160</v>
      </c>
    </row>
    <row r="5" spans="1:25" ht="17.399999999999999" x14ac:dyDescent="0.3">
      <c r="C5" s="23"/>
    </row>
    <row r="7" spans="1:25" s="11" customFormat="1" ht="60" customHeight="1" x14ac:dyDescent="0.3">
      <c r="B7" s="32"/>
      <c r="C7" s="58" t="s">
        <v>166</v>
      </c>
      <c r="D7" s="58" t="s">
        <v>149</v>
      </c>
      <c r="E7" s="58" t="s">
        <v>148</v>
      </c>
      <c r="F7" s="58" t="s">
        <v>175</v>
      </c>
      <c r="G7" s="58" t="s">
        <v>83</v>
      </c>
      <c r="H7" s="58" t="s">
        <v>150</v>
      </c>
      <c r="I7" s="58" t="s">
        <v>155</v>
      </c>
      <c r="J7" s="58" t="s">
        <v>151</v>
      </c>
      <c r="K7" s="58" t="s">
        <v>156</v>
      </c>
      <c r="L7" s="58" t="s">
        <v>152</v>
      </c>
      <c r="M7" s="58" t="s">
        <v>153</v>
      </c>
      <c r="N7" s="58" t="s">
        <v>154</v>
      </c>
      <c r="O7" s="58" t="s">
        <v>162</v>
      </c>
      <c r="P7" s="58" t="s">
        <v>158</v>
      </c>
      <c r="Q7" s="258" t="s">
        <v>503</v>
      </c>
      <c r="R7" s="258"/>
      <c r="S7" s="258" t="s">
        <v>505</v>
      </c>
      <c r="T7" s="258"/>
      <c r="U7" s="160" t="s">
        <v>425</v>
      </c>
      <c r="V7" s="160" t="s">
        <v>427</v>
      </c>
      <c r="W7" s="32" t="s">
        <v>172</v>
      </c>
      <c r="X7" s="160" t="s">
        <v>426</v>
      </c>
      <c r="Y7" s="32"/>
    </row>
    <row r="8" spans="1:25" s="11" customFormat="1" ht="45" customHeight="1" thickBot="1" x14ac:dyDescent="0.4">
      <c r="B8" s="32"/>
      <c r="C8" s="65"/>
      <c r="D8" s="41" t="s">
        <v>423</v>
      </c>
      <c r="E8" s="256" t="str">
        <f>'TABLE MK'!B2</f>
        <v>Pendidikan Pancasila</v>
      </c>
      <c r="F8" s="256"/>
      <c r="G8" s="256"/>
      <c r="H8" s="256"/>
      <c r="I8" s="41" t="s">
        <v>422</v>
      </c>
      <c r="J8" s="40">
        <v>3</v>
      </c>
      <c r="K8" s="42"/>
      <c r="L8" s="43"/>
      <c r="M8" s="43" t="s">
        <v>161</v>
      </c>
      <c r="N8" s="42"/>
      <c r="O8" s="42"/>
      <c r="P8" s="59"/>
      <c r="Q8" s="201"/>
      <c r="R8" s="201"/>
      <c r="S8" s="201"/>
      <c r="T8" s="201"/>
      <c r="Y8" s="32"/>
    </row>
    <row r="9" spans="1:25" s="11" customFormat="1" ht="45" customHeight="1" thickBot="1" x14ac:dyDescent="0.35">
      <c r="A9" s="13"/>
      <c r="B9" s="56"/>
      <c r="C9" s="66" t="str">
        <f>IF(OR(I9="",I9="None"),"-",IF(OR(K9="",K9="None"),E9&amp; " "&amp;"SEM-"&amp;F9&amp;" "&amp;"SKS-"&amp;G9&amp;  " "&amp;H9&amp;" "&amp;J9,E9&amp; " "&amp;"SEM-"&amp;F9&amp;" SKS-"&amp;G9&amp;" "&amp;"S"&amp;H9&amp;  " "&amp;H9&amp;" "&amp;J9&amp;"/"&amp;L9))</f>
        <v>Pendidikan Pancasila SEM-1 SKS-2 A MKU</v>
      </c>
      <c r="D9" s="14" t="str">
        <f>IF(J$8&gt;='TABLE SISTEM'!A$3,'TABLE MK'!A$2,"")</f>
        <v>UMG-55201-101</v>
      </c>
      <c r="E9" s="14" t="str">
        <f>IF(D9="","",(VLOOKUP(D9,Table1[Kode MK]:Table1[[#All],[Kode MK]:[Mata Kuliah Prasyarat]],2,)))</f>
        <v>Pendidikan Pancasila</v>
      </c>
      <c r="F9" s="15">
        <f>IF(D9="","",(VLOOKUP(D9,Table1[Kode MK]:Table1[[#All],[Kode MK]:[Mata Kuliah Prasyarat]],3,)))</f>
        <v>1</v>
      </c>
      <c r="G9" s="15">
        <f>IF(D9="","",(VLOOKUP(D9,Table1[Kode MK]:Table1[[#All],[Kode MK]:[Mata Kuliah Prasyarat]],4,)))</f>
        <v>2</v>
      </c>
      <c r="H9" s="15" t="str">
        <f>IF(D9="","","A")</f>
        <v>A</v>
      </c>
      <c r="I9" s="39" t="s">
        <v>136</v>
      </c>
      <c r="J9" s="17" t="str">
        <f>IF(I9="","",(VLOOKUP(I9,tbDosen[NAMA DOSEN]:tbDosen[[NAMA DOSEN]:[KODE]],2,)))</f>
        <v>MKU</v>
      </c>
      <c r="K9" s="39" t="s">
        <v>105</v>
      </c>
      <c r="L9" s="17" t="str">
        <f>IF(K9="","",(VLOOKUP(K9,tbDosen[NAMA DOSEN]:tbDosen[[NAMA DOSEN]:[KODE]],2,)))</f>
        <v>-</v>
      </c>
      <c r="M9" s="16" t="str">
        <f>IF(OR(I9="",I9="None"),"",IF(OR(K9="",K9="None"),I9,I9&amp;" / "&amp;K9))</f>
        <v>MKU</v>
      </c>
      <c r="N9" s="16" t="str">
        <f>IF(AND(J9&lt;&gt;"-",L9&lt;&gt;"-"),J9&amp;" / "&amp;L9,IF(AND(J9&lt;&gt;"-",L9="-"),J9,""))</f>
        <v>MKU</v>
      </c>
      <c r="O9" s="18">
        <f>IF(OR(I9="",I9="None"),"",IF(OR(K9="",K9="None"),G9,G9/2))</f>
        <v>2</v>
      </c>
      <c r="P9" s="60" t="str">
        <f>IF(D9="","",(IF(AND(G9=4,U9&lt;2),"ADA",IF(AND(G9&lt;4,U9=0),"ADA","TIDAK"))))</f>
        <v>TIDAK</v>
      </c>
      <c r="Q9" s="203" t="str">
        <f>IF(G9=4,I9,"")</f>
        <v/>
      </c>
      <c r="R9" s="203" t="str">
        <f>IF(G9=4,K9,"")</f>
        <v/>
      </c>
      <c r="S9" s="203" t="str">
        <f>IF(AND(I9&lt;&gt;"None",K9&lt;&gt;"None"),I9,"")</f>
        <v/>
      </c>
      <c r="T9" s="203" t="str">
        <f>IF(AND(I9&lt;&gt;"None",K9&lt;&gt;"None"),K9,"")</f>
        <v/>
      </c>
      <c r="U9" s="22" cm="1">
        <f t="array" ref="U9:U181">COUNTIF('PROGRAM JADWAL GASAL'!F$7:F$124,'SELECT KELAS GASAL'!C$9:C$181)</f>
        <v>1</v>
      </c>
      <c r="V9" s="164" t="str">
        <f t="shared" ref="V9:V40" si="0">IF(G9="","",IF(OR(G9=2,G9=3),IF((U9&lt;1),"KURANG",IF(U9&gt;1,"LEBIH","PAS")),IF(G9=4,IF(U9&lt;2,"KURANG",IF(U9&gt;2,"LEBIH","PAS")))))</f>
        <v>PAS</v>
      </c>
      <c r="W9" s="11" t="str">
        <f t="shared" ref="W9:W40" si="1">IF(P9="ADA",C9,"")</f>
        <v/>
      </c>
      <c r="X9" s="165">
        <v>35</v>
      </c>
      <c r="Y9" s="32"/>
    </row>
    <row r="10" spans="1:25" s="11" customFormat="1" ht="45" customHeight="1" thickBot="1" x14ac:dyDescent="0.35">
      <c r="B10" s="32"/>
      <c r="C10" s="66" t="str">
        <f>IF(OR(I10="",I10="None"),"-",IF(OR(K10="",K10="None"),E10&amp; " "&amp;"SEM-"&amp;F10&amp;" "&amp;"SKS-"&amp;G10&amp;  " "&amp;H10&amp;" "&amp;J10,E10&amp; " "&amp;"SEM-"&amp;F10&amp;" SKS-"&amp;G10&amp;" "&amp;"S"&amp;H10&amp;  " "&amp;H10&amp;" "&amp;J10&amp;"/"&amp;L10))</f>
        <v>Pendidikan Pancasila SEM-1 SKS-2 B MKU</v>
      </c>
      <c r="D10" s="14" t="str">
        <f>IF(J$8&gt;='TABLE SISTEM'!A$4,'TABLE MK'!A$2,"")</f>
        <v>UMG-55201-101</v>
      </c>
      <c r="E10" s="14" t="str">
        <f>IF(D10="","",(VLOOKUP(D10,Table1[Kode MK]:Table1[[#All],[Kode MK]:[Mata Kuliah Prasyarat]],2,)))</f>
        <v>Pendidikan Pancasila</v>
      </c>
      <c r="F10" s="15">
        <f>IF(D10="","",(VLOOKUP(D10,Table1[Kode MK]:Table1[[#All],[Kode MK]:[Mata Kuliah Prasyarat]],3,)))</f>
        <v>1</v>
      </c>
      <c r="G10" s="15">
        <f>IF(D10="","",(VLOOKUP(D10,Table1[Kode MK]:Table1[[#All],[Kode MK]:[Mata Kuliah Prasyarat]],4,)))</f>
        <v>2</v>
      </c>
      <c r="H10" s="15" t="str">
        <f>IF(D10="","","B")</f>
        <v>B</v>
      </c>
      <c r="I10" s="39" t="s">
        <v>136</v>
      </c>
      <c r="J10" s="17" t="str">
        <f>IF(I10="","",(VLOOKUP(I10,tbDosen[NAMA DOSEN]:tbDosen[[NAMA DOSEN]:[KODE]],2,)))</f>
        <v>MKU</v>
      </c>
      <c r="K10" s="39" t="s">
        <v>105</v>
      </c>
      <c r="L10" s="17" t="str">
        <f>IF(K10="","",(VLOOKUP(K10,tbDosen[NAMA DOSEN]:tbDosen[[NAMA DOSEN]:[KODE]],2,)))</f>
        <v>-</v>
      </c>
      <c r="M10" s="16" t="str">
        <f>IF(OR(I10="",I10="None"),"",IF(OR(K10="",K10="None"),I10,I10&amp;" / "&amp;K10))</f>
        <v>MKU</v>
      </c>
      <c r="N10" s="16" t="str">
        <f t="shared" ref="N10:N73" si="2">IF(AND(J10&lt;&gt;"-",L10&lt;&gt;"-"),J10&amp;" / "&amp;L10,IF(AND(J10&lt;&gt;"-",L10="-"),J10,""))</f>
        <v>MKU</v>
      </c>
      <c r="O10" s="18">
        <f>IF(OR(I10="",I10="None"),"",IF(OR(K10="",K10="None"),G10,G10/2))</f>
        <v>2</v>
      </c>
      <c r="P10" s="61" t="str">
        <f>IF(D10="","",(IF(AND(G10=4,U10&lt;2),"ADA",IF(AND(G10&lt;4,U10=0),"ADA","TIDAK"))))</f>
        <v>TIDAK</v>
      </c>
      <c r="Q10" s="203" t="str">
        <f t="shared" ref="Q10:Q73" si="3">IF(G10=4,I10,"")</f>
        <v/>
      </c>
      <c r="R10" s="203" t="str">
        <f t="shared" ref="R10:R73" si="4">IF(G10=4,K10,"")</f>
        <v/>
      </c>
      <c r="S10" s="203" t="str">
        <f t="shared" ref="S10:S73" si="5">IF(AND(I10&lt;&gt;"None",K10&lt;&gt;"None"),I10,"")</f>
        <v/>
      </c>
      <c r="T10" s="203" t="str">
        <f t="shared" ref="T10:T73" si="6">IF(AND(I10&lt;&gt;"None",K10&lt;&gt;"None"),K10,"")</f>
        <v/>
      </c>
      <c r="U10" s="22">
        <v>1</v>
      </c>
      <c r="V10" s="164" t="str">
        <f t="shared" si="0"/>
        <v>PAS</v>
      </c>
      <c r="W10" s="11" t="str">
        <f t="shared" si="1"/>
        <v/>
      </c>
      <c r="X10" s="165">
        <v>35</v>
      </c>
      <c r="Y10" s="32"/>
    </row>
    <row r="11" spans="1:25" s="11" customFormat="1" ht="45" customHeight="1" thickBot="1" x14ac:dyDescent="0.35">
      <c r="A11" s="13"/>
      <c r="B11" s="56"/>
      <c r="C11" s="66" t="str">
        <f>IF(OR(I11="",I11="None"),"-",IF(OR(K11="",K11="None"),E11&amp; " "&amp;"SEM-"&amp;F11&amp;" "&amp;"SKS-"&amp;G11&amp;  " "&amp;H11&amp;" "&amp;J11,E11&amp; " "&amp;"SEM-"&amp;F11&amp;" SKS-"&amp;G11&amp;" "&amp;"S"&amp;H11&amp;  " "&amp;H11&amp;" "&amp;J11&amp;"/"&amp;L11))</f>
        <v>Pendidikan Pancasila SEM-1 SKS-2 C MKU</v>
      </c>
      <c r="D11" s="14" t="str">
        <f>IF(J$8&gt;='TABLE SISTEM'!A$5,'TABLE MK'!A$2,"")</f>
        <v>UMG-55201-101</v>
      </c>
      <c r="E11" s="14" t="str">
        <f>IF(D11="","",(VLOOKUP(D11,Table1[Kode MK]:Table1[[#All],[Kode MK]:[Mata Kuliah Prasyarat]],2,)))</f>
        <v>Pendidikan Pancasila</v>
      </c>
      <c r="F11" s="15">
        <f>IF(D11="","",(VLOOKUP(D11,Table1[Kode MK]:Table1[[#All],[Kode MK]:[Mata Kuliah Prasyarat]],3,)))</f>
        <v>1</v>
      </c>
      <c r="G11" s="15">
        <f>IF(D11="","",(VLOOKUP(D11,Table1[Kode MK]:Table1[[#All],[Kode MK]:[Mata Kuliah Prasyarat]],4,)))</f>
        <v>2</v>
      </c>
      <c r="H11" s="15" t="str">
        <f>IF(D11="","","C")</f>
        <v>C</v>
      </c>
      <c r="I11" s="39" t="s">
        <v>136</v>
      </c>
      <c r="J11" s="17" t="str">
        <f>IF(I11="","",(VLOOKUP(I11,tbDosen[NAMA DOSEN]:tbDosen[[NAMA DOSEN]:[KODE]],2,)))</f>
        <v>MKU</v>
      </c>
      <c r="K11" s="39" t="s">
        <v>105</v>
      </c>
      <c r="L11" s="17" t="str">
        <f>IF(K11="","",(VLOOKUP(K11,tbDosen[NAMA DOSEN]:tbDosen[[NAMA DOSEN]:[KODE]],2,)))</f>
        <v>-</v>
      </c>
      <c r="M11" s="16" t="str">
        <f>IF(OR(I11="",I11="None"),"",IF(OR(K11="",K11="None"),I11,I11&amp;" / "&amp;K11))</f>
        <v>MKU</v>
      </c>
      <c r="N11" s="16" t="str">
        <f t="shared" si="2"/>
        <v>MKU</v>
      </c>
      <c r="O11" s="18">
        <f>IF(OR(I11="",I11="None"),"",IF(OR(K11="",K11="None"),G11,G11/2))</f>
        <v>2</v>
      </c>
      <c r="P11" s="163" t="str">
        <f>IF(D11="","",(IF(AND(G11=4,U11&lt;2),"ADA",IF(AND(G11&lt;4,U11=0),"ADA","TIDAK"))))</f>
        <v>TIDAK</v>
      </c>
      <c r="Q11" s="203" t="str">
        <f t="shared" si="3"/>
        <v/>
      </c>
      <c r="R11" s="203" t="str">
        <f t="shared" si="4"/>
        <v/>
      </c>
      <c r="S11" s="203" t="str">
        <f t="shared" si="5"/>
        <v/>
      </c>
      <c r="T11" s="203" t="str">
        <f t="shared" si="6"/>
        <v/>
      </c>
      <c r="U11" s="22">
        <v>1</v>
      </c>
      <c r="V11" s="164" t="str">
        <f t="shared" si="0"/>
        <v>PAS</v>
      </c>
      <c r="W11" s="11" t="str">
        <f t="shared" si="1"/>
        <v/>
      </c>
      <c r="X11" s="165">
        <v>35</v>
      </c>
      <c r="Y11" s="32"/>
    </row>
    <row r="12" spans="1:25" s="11" customFormat="1" ht="45" customHeight="1" thickBot="1" x14ac:dyDescent="0.35">
      <c r="B12" s="32"/>
      <c r="C12" s="66" t="str">
        <f>IF(OR(I12="",I12="None"),"-",IF(OR(K12="",K12="None"),E12&amp; " "&amp;"SEM-"&amp;F12&amp;" "&amp;"SKS-"&amp;G12&amp;  " "&amp;H12&amp;" "&amp;J12,E12&amp; " "&amp;"SEM-"&amp;F12&amp;" SKS-"&amp;G12&amp;" "&amp;"S"&amp;H12&amp;  " "&amp;H12&amp;" "&amp;J12&amp;"/"&amp;L12))</f>
        <v>-</v>
      </c>
      <c r="D12" s="14" t="str">
        <f>IF(J$8&gt;='TABLE SISTEM'!A$6,'TABLE MK'!A$2,"")</f>
        <v/>
      </c>
      <c r="E12" s="14" t="str">
        <f>IF(D12="","",(VLOOKUP(D12,Table1[Kode MK]:Table1[[#All],[Kode MK]:[Mata Kuliah Prasyarat]],2,)))</f>
        <v/>
      </c>
      <c r="F12" s="15" t="str">
        <f>IF(D12="","",(VLOOKUP(D12,Table1[Kode MK]:Table1[[#All],[Kode MK]:[Mata Kuliah Prasyarat]],3,)))</f>
        <v/>
      </c>
      <c r="G12" s="15" t="str">
        <f>IF(D12="","",(VLOOKUP(D12,Table1[Kode MK]:Table1[[#All],[Kode MK]:[Mata Kuliah Prasyarat]],4,)))</f>
        <v/>
      </c>
      <c r="H12" s="15" t="str">
        <f>IF(D12="","","D")</f>
        <v/>
      </c>
      <c r="I12" s="39" t="s">
        <v>105</v>
      </c>
      <c r="J12" s="17" t="str">
        <f>IF(I12="","",(VLOOKUP(I12,tbDosen[NAMA DOSEN]:tbDosen[[NAMA DOSEN]:[KODE]],2,)))</f>
        <v>-</v>
      </c>
      <c r="K12" s="39" t="s">
        <v>105</v>
      </c>
      <c r="L12" s="17" t="str">
        <f>IF(K12="","",(VLOOKUP(K12,tbDosen[NAMA DOSEN]:tbDosen[[NAMA DOSEN]:[KODE]],2,)))</f>
        <v>-</v>
      </c>
      <c r="M12" s="16" t="str">
        <f>IF(OR(I12="",I12="None"),"",IF(OR(K12="",K12="None"),I12,I12&amp;" / "&amp;K12))</f>
        <v/>
      </c>
      <c r="N12" s="16" t="str">
        <f t="shared" si="2"/>
        <v/>
      </c>
      <c r="O12" s="18" t="str">
        <f>IF(OR(I12="",I12="None"),"",IF(OR(K12="",K12="None"),G12,G12/2))</f>
        <v/>
      </c>
      <c r="P12" s="61" t="str">
        <f>IF(D12="","",(IF(AND(G12=4,U12&lt;2),"ADA",IF(AND(G12&lt;4,U12=0),"ADA","TIDAK"))))</f>
        <v/>
      </c>
      <c r="Q12" s="203" t="str">
        <f t="shared" si="3"/>
        <v/>
      </c>
      <c r="R12" s="203" t="str">
        <f t="shared" si="4"/>
        <v/>
      </c>
      <c r="S12" s="203" t="str">
        <f t="shared" si="5"/>
        <v/>
      </c>
      <c r="T12" s="203" t="str">
        <f t="shared" si="6"/>
        <v/>
      </c>
      <c r="U12" s="22">
        <v>0</v>
      </c>
      <c r="V12" s="164" t="str">
        <f t="shared" si="0"/>
        <v/>
      </c>
      <c r="W12" s="11" t="str">
        <f t="shared" si="1"/>
        <v/>
      </c>
      <c r="X12" s="165"/>
      <c r="Y12" s="32"/>
    </row>
    <row r="13" spans="1:25" s="11" customFormat="1" ht="45" customHeight="1" thickBot="1" x14ac:dyDescent="0.35">
      <c r="B13" s="32"/>
      <c r="C13" s="66" t="str">
        <f>IF(OR(I13="",I13="None"),"-",IF(OR(K13="",K13="None"),E13&amp; " "&amp;"SEM-"&amp;F13&amp;" "&amp;"SKS-"&amp;G13&amp;  " "&amp;H13&amp;" "&amp;J13,E13&amp; " "&amp;"SEM-"&amp;F13&amp;" SKS-"&amp;G13&amp;" "&amp;"S"&amp;H13&amp;  " "&amp;H13&amp;" "&amp;J13&amp;"/"&amp;L13))</f>
        <v>-</v>
      </c>
      <c r="D13" s="14" t="str">
        <f>IF(J$8&gt;='TABLE SISTEM'!A$7,'TABLE MK'!A$2,"")</f>
        <v/>
      </c>
      <c r="E13" s="14" t="str">
        <f>IF(D13="","",(VLOOKUP(D13,Table1[Kode MK]:Table1[[#All],[Kode MK]:[Mata Kuliah Prasyarat]],2,)))</f>
        <v/>
      </c>
      <c r="F13" s="15" t="str">
        <f>IF(D13="","",(VLOOKUP(D13,Table1[Kode MK]:Table1[[#All],[Kode MK]:[Mata Kuliah Prasyarat]],3,)))</f>
        <v/>
      </c>
      <c r="G13" s="15" t="str">
        <f>IF(D13="","",(VLOOKUP(D13,Table1[Kode MK]:Table1[[#All],[Kode MK]:[Mata Kuliah Prasyarat]],4,)))</f>
        <v/>
      </c>
      <c r="H13" s="15" t="str">
        <f>IF(D13="","","E")</f>
        <v/>
      </c>
      <c r="I13" s="39" t="s">
        <v>105</v>
      </c>
      <c r="J13" s="17" t="str">
        <f>IF(I13="","",(VLOOKUP(I13,tbDosen[NAMA DOSEN]:tbDosen[[NAMA DOSEN]:[KODE]],2,)))</f>
        <v>-</v>
      </c>
      <c r="K13" s="39" t="s">
        <v>105</v>
      </c>
      <c r="L13" s="17" t="str">
        <f>IF(K13="","",(VLOOKUP(K13,tbDosen[NAMA DOSEN]:tbDosen[[NAMA DOSEN]:[KODE]],2,)))</f>
        <v>-</v>
      </c>
      <c r="M13" s="16" t="str">
        <f>IF(OR(I13="",I13="None"),"",IF(OR(K13="",K13="None"),I13,I13&amp;" / "&amp;K13))</f>
        <v/>
      </c>
      <c r="N13" s="16" t="str">
        <f t="shared" si="2"/>
        <v/>
      </c>
      <c r="O13" s="18" t="str">
        <f>IF(OR(I13="",I13="None"),"",IF(OR(K13="",K13="None"),G13,G13/2))</f>
        <v/>
      </c>
      <c r="P13" s="62" t="str">
        <f>IF(D13="","",(IF(AND(G13=4,U13&lt;2),"ADA",IF(AND(G13&lt;4,U13=0),"ADA","TIDAK"))))</f>
        <v/>
      </c>
      <c r="Q13" s="203" t="str">
        <f t="shared" si="3"/>
        <v/>
      </c>
      <c r="R13" s="203" t="str">
        <f t="shared" si="4"/>
        <v/>
      </c>
      <c r="S13" s="203" t="str">
        <f t="shared" si="5"/>
        <v/>
      </c>
      <c r="T13" s="203" t="str">
        <f t="shared" si="6"/>
        <v/>
      </c>
      <c r="U13" s="22">
        <v>0</v>
      </c>
      <c r="V13" s="164" t="str">
        <f t="shared" si="0"/>
        <v/>
      </c>
      <c r="W13" s="11" t="str">
        <f t="shared" si="1"/>
        <v/>
      </c>
      <c r="X13" s="165"/>
      <c r="Y13" s="32"/>
    </row>
    <row r="14" spans="1:25" s="11" customFormat="1" ht="45" customHeight="1" thickBot="1" x14ac:dyDescent="0.35">
      <c r="B14" s="32"/>
      <c r="C14" s="67"/>
      <c r="D14" s="41" t="s">
        <v>157</v>
      </c>
      <c r="E14" s="256" t="str">
        <f>'TABLE MK'!B3</f>
        <v>Pendidikan Agama</v>
      </c>
      <c r="F14" s="256"/>
      <c r="G14" s="256"/>
      <c r="H14" s="256"/>
      <c r="I14" s="41" t="s">
        <v>95</v>
      </c>
      <c r="J14" s="40">
        <v>3</v>
      </c>
      <c r="K14" s="42"/>
      <c r="L14" s="43"/>
      <c r="M14" s="43" t="s">
        <v>161</v>
      </c>
      <c r="N14" s="45"/>
      <c r="O14" s="42"/>
      <c r="P14" s="63"/>
      <c r="Q14" s="203" t="str">
        <f t="shared" si="3"/>
        <v/>
      </c>
      <c r="R14" s="203" t="str">
        <f t="shared" si="4"/>
        <v/>
      </c>
      <c r="S14" s="203" t="str">
        <f t="shared" si="5"/>
        <v>Jumlah Kelas</v>
      </c>
      <c r="T14" s="203">
        <f t="shared" si="6"/>
        <v>0</v>
      </c>
      <c r="U14" s="22">
        <v>0</v>
      </c>
      <c r="V14" s="164" t="str">
        <f t="shared" si="0"/>
        <v/>
      </c>
      <c r="W14" s="11" t="str">
        <f t="shared" si="1"/>
        <v/>
      </c>
      <c r="X14" s="165"/>
      <c r="Y14" s="32"/>
    </row>
    <row r="15" spans="1:25" s="11" customFormat="1" ht="45" customHeight="1" thickBot="1" x14ac:dyDescent="0.35">
      <c r="A15" s="13"/>
      <c r="B15" s="56"/>
      <c r="C15" s="66" t="str">
        <f>IF(OR(I15="",I15="None"),"-",IF(OR(K15="",K15="None"),E15&amp; " "&amp;"SEM-"&amp;F15&amp;" "&amp;"SKS-"&amp;G15&amp;  " "&amp;H15&amp;" "&amp;J15,E15&amp; " "&amp;"SEM-"&amp;F15&amp;" SKS-"&amp;G15&amp;" "&amp;"S"&amp;H15&amp;  " "&amp;H15&amp;" "&amp;J15&amp;"/"&amp;L15))</f>
        <v>Pendidikan Agama SEM-1 SKS-3 A MKU</v>
      </c>
      <c r="D15" s="14" t="str">
        <f>IF(J$14&gt;='TABLE SISTEM'!A$3,'TABLE MK'!A$3,"")</f>
        <v>UMG-55201-105</v>
      </c>
      <c r="E15" s="14" t="str">
        <f>IF(D15="","",(VLOOKUP(D15,Table1[Kode MK]:Table1[[#All],[Kode MK]:[Mata Kuliah Prasyarat]],2,)))</f>
        <v>Pendidikan Agama</v>
      </c>
      <c r="F15" s="15">
        <f>IF(D15="","",(VLOOKUP(D15,Table1[Kode MK]:Table1[[#All],[Kode MK]:[Mata Kuliah Prasyarat]],3,)))</f>
        <v>1</v>
      </c>
      <c r="G15" s="15">
        <f>IF(D15="","",(VLOOKUP(D15,Table1[Kode MK]:Table1[[#All],[Kode MK]:[Mata Kuliah Prasyarat]],4,)))</f>
        <v>3</v>
      </c>
      <c r="H15" s="15" t="str">
        <f>IF(D15="","","A")</f>
        <v>A</v>
      </c>
      <c r="I15" s="39" t="s">
        <v>136</v>
      </c>
      <c r="J15" s="17" t="str">
        <f>IF(I15="","",(VLOOKUP(I15,tbDosen[NAMA DOSEN]:tbDosen[[NAMA DOSEN]:[KODE]],2,)))</f>
        <v>MKU</v>
      </c>
      <c r="K15" s="39" t="s">
        <v>105</v>
      </c>
      <c r="L15" s="17" t="str">
        <f>IF(K15="","",(VLOOKUP(K15,tbDosen[NAMA DOSEN]:tbDosen[[NAMA DOSEN]:[KODE]],2,)))</f>
        <v>-</v>
      </c>
      <c r="M15" s="16" t="str">
        <f>IF(OR(I15="",I15="None"),"",IF(OR(K15="",K15="None"),I15,I15&amp;" / "&amp;K15))</f>
        <v>MKU</v>
      </c>
      <c r="N15" s="16" t="str">
        <f t="shared" si="2"/>
        <v>MKU</v>
      </c>
      <c r="O15" s="18">
        <f>IF(OR(I15="",I15="None"),"",IF(OR(K15="",K15="None"),G15,G15/2))</f>
        <v>3</v>
      </c>
      <c r="P15" s="60" t="str">
        <f>IF(D15="","",(IF(AND(G15=4,U15&lt;2),"ADA",IF(AND(G15&lt;4,U15=0),"ADA","TIDAK"))))</f>
        <v>TIDAK</v>
      </c>
      <c r="Q15" s="203" t="str">
        <f t="shared" si="3"/>
        <v/>
      </c>
      <c r="R15" s="203" t="str">
        <f t="shared" si="4"/>
        <v/>
      </c>
      <c r="S15" s="203" t="str">
        <f t="shared" si="5"/>
        <v/>
      </c>
      <c r="T15" s="203" t="str">
        <f t="shared" si="6"/>
        <v/>
      </c>
      <c r="U15" s="22">
        <v>1</v>
      </c>
      <c r="V15" s="164" t="str">
        <f t="shared" si="0"/>
        <v>PAS</v>
      </c>
      <c r="W15" s="11" t="str">
        <f t="shared" si="1"/>
        <v/>
      </c>
      <c r="X15" s="165">
        <v>35</v>
      </c>
      <c r="Y15" s="32"/>
    </row>
    <row r="16" spans="1:25" s="11" customFormat="1" ht="45" customHeight="1" thickBot="1" x14ac:dyDescent="0.35">
      <c r="B16" s="32"/>
      <c r="C16" s="66" t="str">
        <f>IF(OR(I16="",I16="None"),"-",IF(OR(K16="",K16="None"),E16&amp; " "&amp;"SEM-"&amp;F16&amp;" "&amp;"SKS-"&amp;G16&amp;  " "&amp;H16&amp;" "&amp;J16,E16&amp; " "&amp;"SEM-"&amp;F16&amp;" SKS-"&amp;G16&amp;" "&amp;"S"&amp;H16&amp;  " "&amp;H16&amp;" "&amp;J16&amp;"/"&amp;L16))</f>
        <v>Pendidikan Agama SEM-1 SKS-3 B MKU</v>
      </c>
      <c r="D16" s="14" t="str">
        <f>IF(J$14&gt;='TABLE SISTEM'!A$4,'TABLE MK'!A$3,"")</f>
        <v>UMG-55201-105</v>
      </c>
      <c r="E16" s="14" t="str">
        <f>IF(D16="","",(VLOOKUP(D16,Table1[Kode MK]:Table1[[#All],[Kode MK]:[Mata Kuliah Prasyarat]],2,)))</f>
        <v>Pendidikan Agama</v>
      </c>
      <c r="F16" s="15">
        <f>IF(D16="","",(VLOOKUP(D16,Table1[Kode MK]:Table1[[#All],[Kode MK]:[Mata Kuliah Prasyarat]],3,)))</f>
        <v>1</v>
      </c>
      <c r="G16" s="15">
        <f>IF(D16="","",(VLOOKUP(D16,Table1[Kode MK]:Table1[[#All],[Kode MK]:[Mata Kuliah Prasyarat]],4,)))</f>
        <v>3</v>
      </c>
      <c r="H16" s="15" t="str">
        <f>IF(D16="","","B")</f>
        <v>B</v>
      </c>
      <c r="I16" s="39" t="s">
        <v>136</v>
      </c>
      <c r="J16" s="17" t="str">
        <f>IF(I16="","",(VLOOKUP(I16,tbDosen[NAMA DOSEN]:tbDosen[[NAMA DOSEN]:[KODE]],2,)))</f>
        <v>MKU</v>
      </c>
      <c r="K16" s="39" t="s">
        <v>105</v>
      </c>
      <c r="L16" s="17" t="str">
        <f>IF(K16="","",(VLOOKUP(K16,tbDosen[NAMA DOSEN]:tbDosen[[NAMA DOSEN]:[KODE]],2,)))</f>
        <v>-</v>
      </c>
      <c r="M16" s="16" t="str">
        <f>IF(OR(I16="",I16="None"),"",IF(OR(K16="",K16="None"),I16,I16&amp;" / "&amp;K16))</f>
        <v>MKU</v>
      </c>
      <c r="N16" s="16" t="str">
        <f t="shared" si="2"/>
        <v>MKU</v>
      </c>
      <c r="O16" s="18">
        <f>IF(OR(I16="",I16="None"),"",IF(OR(K16="",K16="None"),G16,G16/2))</f>
        <v>3</v>
      </c>
      <c r="P16" s="61" t="str">
        <f>IF(D16="","",(IF(AND(G16=4,U16&lt;2),"ADA",IF(AND(G16&lt;4,U16=0),"ADA","TIDAK"))))</f>
        <v>TIDAK</v>
      </c>
      <c r="Q16" s="203" t="str">
        <f t="shared" si="3"/>
        <v/>
      </c>
      <c r="R16" s="203" t="str">
        <f t="shared" si="4"/>
        <v/>
      </c>
      <c r="S16" s="203" t="str">
        <f t="shared" si="5"/>
        <v/>
      </c>
      <c r="T16" s="203" t="str">
        <f t="shared" si="6"/>
        <v/>
      </c>
      <c r="U16" s="22">
        <v>1</v>
      </c>
      <c r="V16" s="164" t="str">
        <f t="shared" si="0"/>
        <v>PAS</v>
      </c>
      <c r="W16" s="11" t="str">
        <f t="shared" si="1"/>
        <v/>
      </c>
      <c r="X16" s="165">
        <v>35</v>
      </c>
      <c r="Y16" s="32"/>
    </row>
    <row r="17" spans="1:25" s="11" customFormat="1" ht="45" customHeight="1" thickBot="1" x14ac:dyDescent="0.35">
      <c r="A17" s="13"/>
      <c r="B17" s="56"/>
      <c r="C17" s="66" t="str">
        <f>IF(OR(I17="",I17="None"),"-",IF(OR(K17="",K17="None"),E17&amp; " "&amp;"SEM-"&amp;F17&amp;" "&amp;"SKS-"&amp;G17&amp;  " "&amp;H17&amp;" "&amp;J17,E17&amp; " "&amp;"SEM-"&amp;F17&amp;" SKS-"&amp;G17&amp;" "&amp;"S"&amp;H17&amp;  " "&amp;H17&amp;" "&amp;J17&amp;"/"&amp;L17))</f>
        <v>Pendidikan Agama SEM-1 SKS-3 C MKU</v>
      </c>
      <c r="D17" s="14" t="str">
        <f>IF(J$14&gt;='TABLE SISTEM'!A$5,'TABLE MK'!A$3,"")</f>
        <v>UMG-55201-105</v>
      </c>
      <c r="E17" s="14" t="str">
        <f>IF(D17="","",(VLOOKUP(D17,Table1[Kode MK]:Table1[[#All],[Kode MK]:[Mata Kuliah Prasyarat]],2,)))</f>
        <v>Pendidikan Agama</v>
      </c>
      <c r="F17" s="15">
        <f>IF(D17="","",(VLOOKUP(D17,Table1[Kode MK]:Table1[[#All],[Kode MK]:[Mata Kuliah Prasyarat]],3,)))</f>
        <v>1</v>
      </c>
      <c r="G17" s="15">
        <f>IF(D17="","",(VLOOKUP(D17,Table1[Kode MK]:Table1[[#All],[Kode MK]:[Mata Kuliah Prasyarat]],4,)))</f>
        <v>3</v>
      </c>
      <c r="H17" s="15" t="str">
        <f>IF(D17="","","C")</f>
        <v>C</v>
      </c>
      <c r="I17" s="39" t="s">
        <v>136</v>
      </c>
      <c r="J17" s="17" t="str">
        <f>IF(I17="","",(VLOOKUP(I17,tbDosen[NAMA DOSEN]:tbDosen[[NAMA DOSEN]:[KODE]],2,)))</f>
        <v>MKU</v>
      </c>
      <c r="K17" s="39" t="s">
        <v>105</v>
      </c>
      <c r="L17" s="17" t="str">
        <f>IF(K17="","",(VLOOKUP(K17,tbDosen[NAMA DOSEN]:tbDosen[[NAMA DOSEN]:[KODE]],2,)))</f>
        <v>-</v>
      </c>
      <c r="M17" s="16" t="str">
        <f>IF(OR(I17="",I17="None"),"",IF(OR(K17="",K17="None"),I17,I17&amp;" / "&amp;K17))</f>
        <v>MKU</v>
      </c>
      <c r="N17" s="16" t="str">
        <f t="shared" si="2"/>
        <v>MKU</v>
      </c>
      <c r="O17" s="18">
        <f>IF(OR(I17="",I17="None"),"",IF(OR(K17="",K17="None"),G17,G17/2))</f>
        <v>3</v>
      </c>
      <c r="P17" s="61" t="str">
        <f>IF(D17="","",(IF(AND(G17=4,U17&lt;2),"ADA",IF(AND(G17&lt;4,U17=0),"ADA","TIDAK"))))</f>
        <v>TIDAK</v>
      </c>
      <c r="Q17" s="203" t="str">
        <f t="shared" si="3"/>
        <v/>
      </c>
      <c r="R17" s="203" t="str">
        <f t="shared" si="4"/>
        <v/>
      </c>
      <c r="S17" s="203" t="str">
        <f t="shared" si="5"/>
        <v/>
      </c>
      <c r="T17" s="203" t="str">
        <f t="shared" si="6"/>
        <v/>
      </c>
      <c r="U17" s="22">
        <v>1</v>
      </c>
      <c r="V17" s="164" t="str">
        <f t="shared" si="0"/>
        <v>PAS</v>
      </c>
      <c r="W17" s="11" t="str">
        <f t="shared" si="1"/>
        <v/>
      </c>
      <c r="X17" s="165">
        <v>35</v>
      </c>
      <c r="Y17" s="32"/>
    </row>
    <row r="18" spans="1:25" s="11" customFormat="1" ht="45" customHeight="1" thickBot="1" x14ac:dyDescent="0.35">
      <c r="B18" s="32"/>
      <c r="C18" s="66" t="str">
        <f>IF(OR(I18="",I18="None"),"-",IF(OR(K18="",K18="None"),E18&amp; " "&amp;"SEM-"&amp;F18&amp;" "&amp;"SKS-"&amp;G18&amp;  " "&amp;H18&amp;" "&amp;J18,E18&amp; " "&amp;"SEM-"&amp;F18&amp;" SKS-"&amp;G18&amp;" "&amp;"S"&amp;H18&amp;  " "&amp;H18&amp;" "&amp;J18&amp;"/"&amp;L18))</f>
        <v>-</v>
      </c>
      <c r="D18" s="14" t="str">
        <f>IF(J$14&gt;='TABLE SISTEM'!A$6,'TABLE MK'!A$3,"")</f>
        <v/>
      </c>
      <c r="E18" s="14" t="str">
        <f>IF(D18="","",(VLOOKUP(D18,Table1[Kode MK]:Table1[[#All],[Kode MK]:[Mata Kuliah Prasyarat]],2,)))</f>
        <v/>
      </c>
      <c r="F18" s="15" t="str">
        <f>IF(D18="","",(VLOOKUP(D18,Table1[Kode MK]:Table1[[#All],[Kode MK]:[Mata Kuliah Prasyarat]],3,)))</f>
        <v/>
      </c>
      <c r="G18" s="15" t="str">
        <f>IF(D18="","",(VLOOKUP(D18,Table1[Kode MK]:Table1[[#All],[Kode MK]:[Mata Kuliah Prasyarat]],4,)))</f>
        <v/>
      </c>
      <c r="H18" s="15" t="str">
        <f>IF(D18="","","D")</f>
        <v/>
      </c>
      <c r="I18" s="39" t="s">
        <v>105</v>
      </c>
      <c r="J18" s="17" t="str">
        <f>IF(I18="","",(VLOOKUP(I18,tbDosen[NAMA DOSEN]:tbDosen[[NAMA DOSEN]:[KODE]],2,)))</f>
        <v>-</v>
      </c>
      <c r="K18" s="39" t="s">
        <v>105</v>
      </c>
      <c r="L18" s="17" t="str">
        <f>IF(K18="","",(VLOOKUP(K18,tbDosen[NAMA DOSEN]:tbDosen[[NAMA DOSEN]:[KODE]],2,)))</f>
        <v>-</v>
      </c>
      <c r="M18" s="16" t="str">
        <f>IF(OR(I18="",I18="None"),"",IF(OR(K18="",K18="None"),I18,I18&amp;" / "&amp;K18))</f>
        <v/>
      </c>
      <c r="N18" s="16" t="str">
        <f t="shared" si="2"/>
        <v/>
      </c>
      <c r="O18" s="18" t="str">
        <f>IF(OR(I18="",I18="None"),"",IF(OR(K18="",K18="None"),G18,G18/2))</f>
        <v/>
      </c>
      <c r="P18" s="61" t="str">
        <f>IF(D18="","",(IF(AND(G18=4,U18&lt;2),"ADA",IF(AND(G18&lt;4,U18=0),"ADA","TIDAK"))))</f>
        <v/>
      </c>
      <c r="Q18" s="203" t="str">
        <f t="shared" si="3"/>
        <v/>
      </c>
      <c r="R18" s="203" t="str">
        <f t="shared" si="4"/>
        <v/>
      </c>
      <c r="S18" s="203" t="str">
        <f t="shared" si="5"/>
        <v/>
      </c>
      <c r="T18" s="203" t="str">
        <f t="shared" si="6"/>
        <v/>
      </c>
      <c r="U18" s="22">
        <v>0</v>
      </c>
      <c r="V18" s="164" t="str">
        <f t="shared" si="0"/>
        <v/>
      </c>
      <c r="W18" s="11" t="str">
        <f t="shared" si="1"/>
        <v/>
      </c>
      <c r="X18" s="165"/>
      <c r="Y18" s="32"/>
    </row>
    <row r="19" spans="1:25" s="11" customFormat="1" ht="45" customHeight="1" thickBot="1" x14ac:dyDescent="0.35">
      <c r="B19" s="32"/>
      <c r="C19" s="66" t="str">
        <f>IF(OR(I19="",I19="None"),"-",IF(OR(K19="",K19="None"),E19&amp; " "&amp;"SEM-"&amp;F19&amp;" "&amp;"SKS-"&amp;G19&amp;  " "&amp;H19&amp;" "&amp;J19,E19&amp; " "&amp;"SEM-"&amp;F19&amp;" SKS-"&amp;G19&amp;" "&amp;"S"&amp;H19&amp;  " "&amp;H19&amp;" "&amp;J19&amp;"/"&amp;L19))</f>
        <v>-</v>
      </c>
      <c r="D19" s="14" t="str">
        <f>IF(J$14&gt;='TABLE SISTEM'!A$7,'TABLE MK'!A$3,"")</f>
        <v/>
      </c>
      <c r="E19" s="14" t="str">
        <f>IF(D19="","",(VLOOKUP(D19,Table1[Kode MK]:Table1[[#All],[Kode MK]:[Mata Kuliah Prasyarat]],2,)))</f>
        <v/>
      </c>
      <c r="F19" s="15" t="str">
        <f>IF(D19="","",(VLOOKUP(D19,Table1[Kode MK]:Table1[[#All],[Kode MK]:[Mata Kuliah Prasyarat]],3,)))</f>
        <v/>
      </c>
      <c r="G19" s="15" t="str">
        <f>IF(D19="","",(VLOOKUP(D19,Table1[Kode MK]:Table1[[#All],[Kode MK]:[Mata Kuliah Prasyarat]],4,)))</f>
        <v/>
      </c>
      <c r="H19" s="15" t="str">
        <f>IF(D19="","","E")</f>
        <v/>
      </c>
      <c r="I19" s="39" t="s">
        <v>105</v>
      </c>
      <c r="J19" s="17" t="str">
        <f>IF(I19="","",(VLOOKUP(I19,tbDosen[NAMA DOSEN]:tbDosen[[NAMA DOSEN]:[KODE]],2,)))</f>
        <v>-</v>
      </c>
      <c r="K19" s="39" t="s">
        <v>105</v>
      </c>
      <c r="L19" s="17" t="str">
        <f>IF(K19="","",(VLOOKUP(K19,tbDosen[NAMA DOSEN]:tbDosen[[NAMA DOSEN]:[KODE]],2,)))</f>
        <v>-</v>
      </c>
      <c r="M19" s="16" t="str">
        <f>IF(OR(I19="",I19="None"),"",IF(OR(K19="",K19="None"),I19,I19&amp;" / "&amp;K19))</f>
        <v/>
      </c>
      <c r="N19" s="16" t="str">
        <f t="shared" si="2"/>
        <v/>
      </c>
      <c r="O19" s="18" t="str">
        <f>IF(OR(I19="",I19="None"),"",IF(OR(K19="",K19="None"),G19,G19/2))</f>
        <v/>
      </c>
      <c r="P19" s="62" t="str">
        <f>IF(D19="","",(IF(AND(G19=4,U19&lt;2),"ADA",IF(AND(G19&lt;4,U19=0),"ADA","TIDAK"))))</f>
        <v/>
      </c>
      <c r="Q19" s="203" t="str">
        <f t="shared" si="3"/>
        <v/>
      </c>
      <c r="R19" s="203" t="str">
        <f t="shared" si="4"/>
        <v/>
      </c>
      <c r="S19" s="203" t="str">
        <f t="shared" si="5"/>
        <v/>
      </c>
      <c r="T19" s="203" t="str">
        <f t="shared" si="6"/>
        <v/>
      </c>
      <c r="U19" s="22">
        <v>0</v>
      </c>
      <c r="V19" s="164" t="str">
        <f t="shared" si="0"/>
        <v/>
      </c>
      <c r="W19" s="11" t="str">
        <f t="shared" si="1"/>
        <v/>
      </c>
      <c r="X19" s="165"/>
      <c r="Y19" s="32"/>
    </row>
    <row r="20" spans="1:25" s="11" customFormat="1" ht="45" customHeight="1" thickBot="1" x14ac:dyDescent="0.35">
      <c r="B20" s="32"/>
      <c r="C20" s="67"/>
      <c r="D20" s="41" t="s">
        <v>157</v>
      </c>
      <c r="E20" s="256" t="str">
        <f>'TABLE MK'!B4</f>
        <v>Bahasa  Inggris  </v>
      </c>
      <c r="F20" s="256"/>
      <c r="G20" s="256"/>
      <c r="H20" s="256"/>
      <c r="I20" s="41" t="s">
        <v>95</v>
      </c>
      <c r="J20" s="40">
        <v>3</v>
      </c>
      <c r="K20" s="42"/>
      <c r="L20" s="43"/>
      <c r="M20" s="43" t="s">
        <v>161</v>
      </c>
      <c r="N20" s="45"/>
      <c r="O20" s="42"/>
      <c r="P20" s="63"/>
      <c r="Q20" s="203" t="str">
        <f t="shared" si="3"/>
        <v/>
      </c>
      <c r="R20" s="203" t="str">
        <f t="shared" si="4"/>
        <v/>
      </c>
      <c r="S20" s="203" t="str">
        <f t="shared" si="5"/>
        <v>Jumlah Kelas</v>
      </c>
      <c r="T20" s="203">
        <f t="shared" si="6"/>
        <v>0</v>
      </c>
      <c r="U20" s="22">
        <v>0</v>
      </c>
      <c r="V20" s="164" t="str">
        <f t="shared" si="0"/>
        <v/>
      </c>
      <c r="W20" s="11" t="str">
        <f t="shared" si="1"/>
        <v/>
      </c>
      <c r="X20" s="165"/>
      <c r="Y20" s="32"/>
    </row>
    <row r="21" spans="1:25" s="11" customFormat="1" ht="45" customHeight="1" thickBot="1" x14ac:dyDescent="0.35">
      <c r="B21" s="32"/>
      <c r="C21" s="66" t="str">
        <f>IF(OR(I21="",I21="None"),"-",IF(OR(K21="",K21="None"),E21&amp; " "&amp;"SEM-"&amp;F21&amp;" "&amp;"SKS-"&amp;G21&amp;  " "&amp;H21&amp;" "&amp;J21,E21&amp; " "&amp;"SEM-"&amp;F21&amp;" SKS-"&amp;G21&amp;" "&amp;"S"&amp;H21&amp;  " "&amp;H21&amp;" "&amp;J21&amp;"/"&amp;L21))</f>
        <v>Bahasa  Inggris   SEM-1 SKS-2 A MKU</v>
      </c>
      <c r="D21" s="14" t="str">
        <f>IF(J$20&gt;='TABLE SISTEM'!A$3,'TABLE MK'!A$4,"")</f>
        <v>UMG-55201-103</v>
      </c>
      <c r="E21" s="14" t="str">
        <f>IF(D21="","",(VLOOKUP(D21,Table1[Kode MK]:Table1[[#All],[Kode MK]:[Mata Kuliah Prasyarat]],2,)))</f>
        <v>Bahasa  Inggris  </v>
      </c>
      <c r="F21" s="15">
        <f>IF(D21="","",(VLOOKUP(D21,Table1[Kode MK]:Table1[[#All],[Kode MK]:[Mata Kuliah Prasyarat]],3,)))</f>
        <v>1</v>
      </c>
      <c r="G21" s="15">
        <f>IF(D21="","",(VLOOKUP(D21,Table1[Kode MK]:Table1[[#All],[Kode MK]:[Mata Kuliah Prasyarat]],4,)))</f>
        <v>2</v>
      </c>
      <c r="H21" s="15" t="str">
        <f>IF(D21="","","A")</f>
        <v>A</v>
      </c>
      <c r="I21" s="39" t="s">
        <v>136</v>
      </c>
      <c r="J21" s="17" t="str">
        <f>IF(I21="","",(VLOOKUP(I21,tbDosen[NAMA DOSEN]:tbDosen[[NAMA DOSEN]:[KODE]],2,)))</f>
        <v>MKU</v>
      </c>
      <c r="K21" s="39" t="s">
        <v>105</v>
      </c>
      <c r="L21" s="17" t="str">
        <f>IF(K21="","",(VLOOKUP(K21,tbDosen[NAMA DOSEN]:tbDosen[[NAMA DOSEN]:[KODE]],2,)))</f>
        <v>-</v>
      </c>
      <c r="M21" s="16" t="str">
        <f>IF(OR(I21="",I21="None"),"",IF(OR(K21="",K21="None"),I21,I21&amp;" / "&amp;K21))</f>
        <v>MKU</v>
      </c>
      <c r="N21" s="16" t="str">
        <f t="shared" si="2"/>
        <v>MKU</v>
      </c>
      <c r="O21" s="18">
        <f>IF(OR(I21="",I21="None"),"",IF(OR(K21="",K21="None"),G21,G21/2))</f>
        <v>2</v>
      </c>
      <c r="P21" s="60" t="str">
        <f>IF(D21="","",(IF(AND(G21=4,U21&lt;2),"ADA",IF(AND(G21&lt;4,U21=0),"ADA","TIDAK"))))</f>
        <v>TIDAK</v>
      </c>
      <c r="Q21" s="203" t="str">
        <f t="shared" si="3"/>
        <v/>
      </c>
      <c r="R21" s="203" t="str">
        <f t="shared" si="4"/>
        <v/>
      </c>
      <c r="S21" s="203" t="str">
        <f t="shared" si="5"/>
        <v/>
      </c>
      <c r="T21" s="203" t="str">
        <f t="shared" si="6"/>
        <v/>
      </c>
      <c r="U21" s="22">
        <v>1</v>
      </c>
      <c r="V21" s="164" t="str">
        <f t="shared" si="0"/>
        <v>PAS</v>
      </c>
      <c r="W21" s="11" t="str">
        <f t="shared" si="1"/>
        <v/>
      </c>
      <c r="X21" s="165">
        <v>35</v>
      </c>
      <c r="Y21" s="32"/>
    </row>
    <row r="22" spans="1:25" s="11" customFormat="1" ht="45" customHeight="1" thickBot="1" x14ac:dyDescent="0.35">
      <c r="B22" s="32"/>
      <c r="C22" s="66" t="str">
        <f>IF(OR(I22="",I22="None"),"-",IF(OR(K22="",K22="None"),E22&amp; " "&amp;"SEM-"&amp;F22&amp;" "&amp;"SKS-"&amp;G22&amp;  " "&amp;H22&amp;" "&amp;J22,E22&amp; " "&amp;"SEM-"&amp;F22&amp;" SKS-"&amp;G22&amp;" "&amp;"S"&amp;H22&amp;  " "&amp;H22&amp;" "&amp;J22&amp;"/"&amp;L22))</f>
        <v>Bahasa  Inggris   SEM-1 SKS-2 B MKU</v>
      </c>
      <c r="D22" s="14" t="str">
        <f>IF(J$20&gt;='TABLE SISTEM'!A$4,'TABLE MK'!A$4,"")</f>
        <v>UMG-55201-103</v>
      </c>
      <c r="E22" s="14" t="str">
        <f>IF(D22="","",(VLOOKUP(D22,Table1[Kode MK]:Table1[[#All],[Kode MK]:[Mata Kuliah Prasyarat]],2,)))</f>
        <v>Bahasa  Inggris  </v>
      </c>
      <c r="F22" s="15">
        <f>IF(D22="","",(VLOOKUP(D22,Table1[Kode MK]:Table1[[#All],[Kode MK]:[Mata Kuliah Prasyarat]],3,)))</f>
        <v>1</v>
      </c>
      <c r="G22" s="15">
        <f>IF(D22="","",(VLOOKUP(D22,Table1[Kode MK]:Table1[[#All],[Kode MK]:[Mata Kuliah Prasyarat]],4,)))</f>
        <v>2</v>
      </c>
      <c r="H22" s="15" t="str">
        <f>IF(D22="","","B")</f>
        <v>B</v>
      </c>
      <c r="I22" s="39" t="s">
        <v>136</v>
      </c>
      <c r="J22" s="17" t="str">
        <f>IF(I22="","",(VLOOKUP(I22,tbDosen[NAMA DOSEN]:tbDosen[[NAMA DOSEN]:[KODE]],2,)))</f>
        <v>MKU</v>
      </c>
      <c r="K22" s="39" t="s">
        <v>105</v>
      </c>
      <c r="L22" s="17" t="str">
        <f>IF(K22="","",(VLOOKUP(K22,tbDosen[NAMA DOSEN]:tbDosen[[NAMA DOSEN]:[KODE]],2,)))</f>
        <v>-</v>
      </c>
      <c r="M22" s="16" t="str">
        <f>IF(OR(I22="",I22="None"),"",IF(OR(K22="",K22="None"),I22,I22&amp;" / "&amp;K22))</f>
        <v>MKU</v>
      </c>
      <c r="N22" s="16" t="str">
        <f t="shared" si="2"/>
        <v>MKU</v>
      </c>
      <c r="O22" s="18">
        <f>IF(OR(I22="",I22="None"),"",IF(OR(K22="",K22="None"),G22,G22/2))</f>
        <v>2</v>
      </c>
      <c r="P22" s="61" t="str">
        <f>IF(D22="","",(IF(AND(G22=4,U22&lt;2),"ADA",IF(AND(G22&lt;4,U22=0),"ADA","TIDAK"))))</f>
        <v>TIDAK</v>
      </c>
      <c r="Q22" s="203" t="str">
        <f t="shared" si="3"/>
        <v/>
      </c>
      <c r="R22" s="203" t="str">
        <f t="shared" si="4"/>
        <v/>
      </c>
      <c r="S22" s="203" t="str">
        <f t="shared" si="5"/>
        <v/>
      </c>
      <c r="T22" s="203" t="str">
        <f t="shared" si="6"/>
        <v/>
      </c>
      <c r="U22" s="22">
        <v>1</v>
      </c>
      <c r="V22" s="164" t="str">
        <f t="shared" si="0"/>
        <v>PAS</v>
      </c>
      <c r="W22" s="11" t="str">
        <f t="shared" si="1"/>
        <v/>
      </c>
      <c r="X22" s="165">
        <v>35</v>
      </c>
      <c r="Y22" s="32"/>
    </row>
    <row r="23" spans="1:25" s="11" customFormat="1" ht="45" customHeight="1" thickBot="1" x14ac:dyDescent="0.35">
      <c r="B23" s="32"/>
      <c r="C23" s="66" t="str">
        <f>IF(OR(I23="",I23="None"),"-",IF(OR(K23="",K23="None"),E23&amp; " "&amp;"SEM-"&amp;F23&amp;" "&amp;"SKS-"&amp;G23&amp;  " "&amp;H23&amp;" "&amp;J23,E23&amp; " "&amp;"SEM-"&amp;F23&amp;" SKS-"&amp;G23&amp;" "&amp;"S"&amp;H23&amp;  " "&amp;H23&amp;" "&amp;J23&amp;"/"&amp;L23))</f>
        <v>Bahasa  Inggris   SEM-1 SKS-2 C MKU</v>
      </c>
      <c r="D23" s="14" t="str">
        <f>IF(J$20&gt;='TABLE SISTEM'!A$5,'TABLE MK'!A$4,"")</f>
        <v>UMG-55201-103</v>
      </c>
      <c r="E23" s="14" t="str">
        <f>IF(D23="","",(VLOOKUP(D23,Table1[Kode MK]:Table1[[#All],[Kode MK]:[Mata Kuliah Prasyarat]],2,)))</f>
        <v>Bahasa  Inggris  </v>
      </c>
      <c r="F23" s="15">
        <f>IF(D23="","",(VLOOKUP(D23,Table1[Kode MK]:Table1[[#All],[Kode MK]:[Mata Kuliah Prasyarat]],3,)))</f>
        <v>1</v>
      </c>
      <c r="G23" s="15">
        <f>IF(D23="","",(VLOOKUP(D23,Table1[Kode MK]:Table1[[#All],[Kode MK]:[Mata Kuliah Prasyarat]],4,)))</f>
        <v>2</v>
      </c>
      <c r="H23" s="15" t="str">
        <f>IF(D23="","","C")</f>
        <v>C</v>
      </c>
      <c r="I23" s="39" t="s">
        <v>136</v>
      </c>
      <c r="J23" s="17" t="str">
        <f>IF(I23="","",(VLOOKUP(I23,tbDosen[NAMA DOSEN]:tbDosen[[NAMA DOSEN]:[KODE]],2,)))</f>
        <v>MKU</v>
      </c>
      <c r="K23" s="39" t="s">
        <v>105</v>
      </c>
      <c r="L23" s="17" t="str">
        <f>IF(K23="","",(VLOOKUP(K23,tbDosen[NAMA DOSEN]:tbDosen[[NAMA DOSEN]:[KODE]],2,)))</f>
        <v>-</v>
      </c>
      <c r="M23" s="16" t="str">
        <f>IF(OR(I23="",I23="None"),"",IF(OR(K23="",K23="None"),I23,I23&amp;" / "&amp;K23))</f>
        <v>MKU</v>
      </c>
      <c r="N23" s="16" t="str">
        <f t="shared" si="2"/>
        <v>MKU</v>
      </c>
      <c r="O23" s="18">
        <f>IF(OR(I23="",I23="None"),"",IF(OR(K23="",K23="None"),G23,G23/2))</f>
        <v>2</v>
      </c>
      <c r="P23" s="61" t="str">
        <f>IF(D23="","",(IF(AND(G23=4,U23&lt;2),"ADA",IF(AND(G23&lt;4,U23=0),"ADA","TIDAK"))))</f>
        <v>TIDAK</v>
      </c>
      <c r="Q23" s="203" t="str">
        <f t="shared" si="3"/>
        <v/>
      </c>
      <c r="R23" s="203" t="str">
        <f t="shared" si="4"/>
        <v/>
      </c>
      <c r="S23" s="203" t="str">
        <f t="shared" si="5"/>
        <v/>
      </c>
      <c r="T23" s="203" t="str">
        <f t="shared" si="6"/>
        <v/>
      </c>
      <c r="U23" s="22">
        <v>1</v>
      </c>
      <c r="V23" s="164" t="str">
        <f t="shared" si="0"/>
        <v>PAS</v>
      </c>
      <c r="W23" s="11" t="str">
        <f t="shared" si="1"/>
        <v/>
      </c>
      <c r="X23" s="165">
        <v>35</v>
      </c>
      <c r="Y23" s="32"/>
    </row>
    <row r="24" spans="1:25" s="11" customFormat="1" ht="45" customHeight="1" thickBot="1" x14ac:dyDescent="0.35">
      <c r="B24" s="32"/>
      <c r="C24" s="66" t="str">
        <f>IF(OR(I24="",I24="None"),"-",IF(OR(K24="",K24="None"),E24&amp; " "&amp;"SEM-"&amp;F24&amp;" "&amp;"SKS-"&amp;G24&amp;  " "&amp;H24&amp;" "&amp;J24,E24&amp; " "&amp;"SEM-"&amp;F24&amp;" SKS-"&amp;G24&amp;" "&amp;"S"&amp;H24&amp;  " "&amp;H24&amp;" "&amp;J24&amp;"/"&amp;L24))</f>
        <v>-</v>
      </c>
      <c r="D24" s="14" t="str">
        <f>IF(J$20&gt;='TABLE SISTEM'!A$6,'TABLE MK'!A$4,"")</f>
        <v/>
      </c>
      <c r="E24" s="14" t="str">
        <f>IF(D24="","",(VLOOKUP(D24,Table1[Kode MK]:Table1[[#All],[Kode MK]:[Mata Kuliah Prasyarat]],2,)))</f>
        <v/>
      </c>
      <c r="F24" s="15" t="str">
        <f>IF(D24="","",(VLOOKUP(D24,Table1[Kode MK]:Table1[[#All],[Kode MK]:[Mata Kuliah Prasyarat]],3,)))</f>
        <v/>
      </c>
      <c r="G24" s="15" t="str">
        <f>IF(D24="","",(VLOOKUP(D24,Table1[Kode MK]:Table1[[#All],[Kode MK]:[Mata Kuliah Prasyarat]],4,)))</f>
        <v/>
      </c>
      <c r="H24" s="15" t="str">
        <f>IF(D24="","","D")</f>
        <v/>
      </c>
      <c r="I24" s="39" t="s">
        <v>105</v>
      </c>
      <c r="J24" s="17" t="str">
        <f>IF(I24="","",(VLOOKUP(I24,tbDosen[NAMA DOSEN]:tbDosen[[NAMA DOSEN]:[KODE]],2,)))</f>
        <v>-</v>
      </c>
      <c r="K24" s="39" t="s">
        <v>105</v>
      </c>
      <c r="L24" s="17" t="str">
        <f>IF(K24="","",(VLOOKUP(K24,tbDosen[NAMA DOSEN]:tbDosen[[NAMA DOSEN]:[KODE]],2,)))</f>
        <v>-</v>
      </c>
      <c r="M24" s="16" t="str">
        <f>IF(OR(I24="",I24="None"),"",IF(OR(K24="",K24="None"),I24,I24&amp;" / "&amp;K24))</f>
        <v/>
      </c>
      <c r="N24" s="16" t="str">
        <f t="shared" si="2"/>
        <v/>
      </c>
      <c r="O24" s="18" t="str">
        <f>IF(OR(I24="",I24="None"),"",IF(OR(K24="",K24="None"),G24,G24/2))</f>
        <v/>
      </c>
      <c r="P24" s="61" t="str">
        <f>IF(D24="","",(IF(AND(G24=4,U24&lt;2),"ADA",IF(AND(G24&lt;4,U24=0),"ADA","TIDAK"))))</f>
        <v/>
      </c>
      <c r="Q24" s="203" t="str">
        <f t="shared" si="3"/>
        <v/>
      </c>
      <c r="R24" s="203" t="str">
        <f t="shared" si="4"/>
        <v/>
      </c>
      <c r="S24" s="203" t="str">
        <f t="shared" si="5"/>
        <v/>
      </c>
      <c r="T24" s="203" t="str">
        <f t="shared" si="6"/>
        <v/>
      </c>
      <c r="U24" s="22">
        <v>0</v>
      </c>
      <c r="V24" s="164" t="str">
        <f t="shared" si="0"/>
        <v/>
      </c>
      <c r="W24" s="11" t="str">
        <f t="shared" si="1"/>
        <v/>
      </c>
      <c r="X24" s="165"/>
      <c r="Y24" s="32"/>
    </row>
    <row r="25" spans="1:25" s="11" customFormat="1" ht="45" customHeight="1" thickBot="1" x14ac:dyDescent="0.35">
      <c r="B25" s="32"/>
      <c r="C25" s="66" t="str">
        <f>IF(OR(I25="",I25="None"),"-",IF(OR(K25="",K25="None"),E25&amp; " "&amp;"SEM-"&amp;F25&amp;" "&amp;"SKS-"&amp;G25&amp;  " "&amp;H25&amp;" "&amp;J25,E25&amp; " "&amp;"SEM-"&amp;F25&amp;" SKS-"&amp;G25&amp;" "&amp;"S"&amp;H25&amp;  " "&amp;H25&amp;" "&amp;J25&amp;"/"&amp;L25))</f>
        <v>-</v>
      </c>
      <c r="D25" s="14" t="str">
        <f>IF(J$20&gt;='TABLE SISTEM'!A$7,'TABLE MK'!A$4,"")</f>
        <v/>
      </c>
      <c r="E25" s="14" t="str">
        <f>IF(D25="","",(VLOOKUP(D25,Table1[Kode MK]:Table1[[#All],[Kode MK]:[Mata Kuliah Prasyarat]],2,)))</f>
        <v/>
      </c>
      <c r="F25" s="15" t="str">
        <f>IF(D25="","",(VLOOKUP(D25,Table1[Kode MK]:Table1[[#All],[Kode MK]:[Mata Kuliah Prasyarat]],3,)))</f>
        <v/>
      </c>
      <c r="G25" s="15" t="str">
        <f>IF(D25="","",(VLOOKUP(D25,Table1[Kode MK]:Table1[[#All],[Kode MK]:[Mata Kuliah Prasyarat]],4,)))</f>
        <v/>
      </c>
      <c r="H25" s="15" t="str">
        <f>IF(D25="","","E")</f>
        <v/>
      </c>
      <c r="I25" s="39" t="s">
        <v>105</v>
      </c>
      <c r="J25" s="17" t="str">
        <f>IF(I25="","",(VLOOKUP(I25,tbDosen[NAMA DOSEN]:tbDosen[[NAMA DOSEN]:[KODE]],2,)))</f>
        <v>-</v>
      </c>
      <c r="K25" s="39" t="s">
        <v>105</v>
      </c>
      <c r="L25" s="17" t="str">
        <f>IF(K25="","",(VLOOKUP(K25,tbDosen[NAMA DOSEN]:tbDosen[[NAMA DOSEN]:[KODE]],2,)))</f>
        <v>-</v>
      </c>
      <c r="M25" s="16" t="str">
        <f>IF(OR(I25="",I25="None"),"",IF(OR(K25="",K25="None"),I25,I25&amp;" / "&amp;K25))</f>
        <v/>
      </c>
      <c r="N25" s="16" t="str">
        <f t="shared" si="2"/>
        <v/>
      </c>
      <c r="O25" s="18" t="str">
        <f>IF(OR(I25="",I25="None"),"",IF(OR(K25="",K25="None"),G25,G25/2))</f>
        <v/>
      </c>
      <c r="P25" s="62" t="str">
        <f>IF(D25="","",(IF(AND(G25=4,U25&lt;2),"ADA",IF(AND(G25&lt;4,U25=0),"ADA","TIDAK"))))</f>
        <v/>
      </c>
      <c r="Q25" s="203" t="str">
        <f t="shared" si="3"/>
        <v/>
      </c>
      <c r="R25" s="203" t="str">
        <f t="shared" si="4"/>
        <v/>
      </c>
      <c r="S25" s="203" t="str">
        <f t="shared" si="5"/>
        <v/>
      </c>
      <c r="T25" s="203" t="str">
        <f t="shared" si="6"/>
        <v/>
      </c>
      <c r="U25" s="22">
        <v>0</v>
      </c>
      <c r="V25" s="164" t="str">
        <f t="shared" si="0"/>
        <v/>
      </c>
      <c r="W25" s="11" t="str">
        <f t="shared" si="1"/>
        <v/>
      </c>
      <c r="X25" s="165"/>
      <c r="Y25" s="32"/>
    </row>
    <row r="26" spans="1:25" s="11" customFormat="1" ht="45" customHeight="1" thickBot="1" x14ac:dyDescent="0.35">
      <c r="B26" s="32"/>
      <c r="C26" s="67"/>
      <c r="D26" s="41" t="s">
        <v>157</v>
      </c>
      <c r="E26" s="256" t="str">
        <f>'TABLE MK'!B5</f>
        <v>Matematika  Dasar I</v>
      </c>
      <c r="F26" s="256"/>
      <c r="G26" s="256"/>
      <c r="H26" s="256"/>
      <c r="I26" s="41" t="s">
        <v>95</v>
      </c>
      <c r="J26" s="40">
        <v>4</v>
      </c>
      <c r="K26" s="42"/>
      <c r="L26" s="43"/>
      <c r="M26" s="43" t="s">
        <v>161</v>
      </c>
      <c r="N26" s="45"/>
      <c r="O26" s="42"/>
      <c r="P26" s="63"/>
      <c r="Q26" s="203" t="str">
        <f t="shared" si="3"/>
        <v/>
      </c>
      <c r="R26" s="203" t="str">
        <f t="shared" si="4"/>
        <v/>
      </c>
      <c r="S26" s="203" t="str">
        <f t="shared" si="5"/>
        <v>Jumlah Kelas</v>
      </c>
      <c r="T26" s="203">
        <f t="shared" si="6"/>
        <v>0</v>
      </c>
      <c r="U26" s="22">
        <v>0</v>
      </c>
      <c r="V26" s="164" t="str">
        <f t="shared" si="0"/>
        <v/>
      </c>
      <c r="W26" s="11" t="str">
        <f t="shared" si="1"/>
        <v/>
      </c>
      <c r="X26" s="165"/>
      <c r="Y26" s="32"/>
    </row>
    <row r="27" spans="1:25" s="11" customFormat="1" ht="45" customHeight="1" thickBot="1" x14ac:dyDescent="0.35">
      <c r="B27" s="32"/>
      <c r="C27" s="68" t="str">
        <f>IF(OR(I27="",I27="None"),"-",IF(OR(K27="",K27="None"),E27&amp; " "&amp;"SEM-"&amp;F27&amp;" "&amp;"SKS-"&amp;G27&amp;  " "&amp;H27&amp;" "&amp;J27,E27&amp; " "&amp;"SEM-"&amp;F27&amp;" SKS-"&amp;G27&amp;" "&amp;"S"&amp;H27&amp;  " "&amp;H27&amp;" "&amp;J27&amp;"/"&amp;L27))</f>
        <v>Matematika  Dasar I SEM-1 SKS-3 SA A AS/NC</v>
      </c>
      <c r="D27" s="14" t="str">
        <f>IF(J$26&gt;='TABLE SISTEM'!A$3,'TABLE MK'!A$5,"")</f>
        <v>INF-55201-101</v>
      </c>
      <c r="E27" s="14" t="str">
        <f>IF(D27="","",(VLOOKUP(D27,Table1[Kode MK]:Table1[[#All],[Kode MK]:[Mata Kuliah Prasyarat]],2,)))</f>
        <v>Matematika  Dasar I</v>
      </c>
      <c r="F27" s="15">
        <f>IF(D27="","",(VLOOKUP(D27,Table1[Kode MK]:Table1[[#All],[Kode MK]:[Mata Kuliah Prasyarat]],3,)))</f>
        <v>1</v>
      </c>
      <c r="G27" s="15">
        <f>IF(D27="","",(VLOOKUP(D27,Table1[Kode MK]:Table1[[#All],[Kode MK]:[Mata Kuliah Prasyarat]],4,)))</f>
        <v>3</v>
      </c>
      <c r="H27" s="15" t="str">
        <f>IF(D27="","","A")</f>
        <v>A</v>
      </c>
      <c r="I27" s="39" t="s">
        <v>109</v>
      </c>
      <c r="J27" s="17" t="str">
        <f>IF(I27="","",(VLOOKUP(I27,tbDosen[NAMA DOSEN]:tbDosen[[NAMA DOSEN]:[KODE]],2,)))</f>
        <v>AS</v>
      </c>
      <c r="K27" s="39" t="s">
        <v>338</v>
      </c>
      <c r="L27" s="17" t="str">
        <f>IF(K27="","",(VLOOKUP(K27,tbDosen[NAMA DOSEN]:tbDosen[[NAMA DOSEN]:[KODE]],2,)))</f>
        <v>NC</v>
      </c>
      <c r="M27" s="16" t="str">
        <f>IF(OR(I27="",I27="None"),"",IF(OR(K27="",K27="None"),I27,I27&amp;" / "&amp;K27))</f>
        <v>Anggi Srimurdianti, S.T., M.T. / Niken Candraningrum, S.T., M.Cs.</v>
      </c>
      <c r="N27" s="16" t="str">
        <f t="shared" si="2"/>
        <v>AS / NC</v>
      </c>
      <c r="O27" s="18">
        <f>IF(OR(I27="",I27="None"),"",IF(OR(K27="",K27="None"),G27,G27/2))</f>
        <v>1.5</v>
      </c>
      <c r="P27" s="60" t="str">
        <f>IF(D27="","",(IF(AND(G27=4,U27&lt;2),"ADA",IF(AND(G27&lt;4,U27=0),"ADA","TIDAK"))))</f>
        <v>TIDAK</v>
      </c>
      <c r="Q27" s="203" t="str">
        <f t="shared" si="3"/>
        <v/>
      </c>
      <c r="R27" s="203" t="str">
        <f t="shared" si="4"/>
        <v/>
      </c>
      <c r="S27" s="203" t="str">
        <f t="shared" si="5"/>
        <v>Anggi Srimurdianti, S.T., M.T.</v>
      </c>
      <c r="T27" s="203" t="str">
        <f t="shared" si="6"/>
        <v>Niken Candraningrum, S.T., M.Cs.</v>
      </c>
      <c r="U27" s="22">
        <v>1</v>
      </c>
      <c r="V27" s="164" t="str">
        <f t="shared" si="0"/>
        <v>PAS</v>
      </c>
      <c r="W27" s="11" t="str">
        <f t="shared" si="1"/>
        <v/>
      </c>
      <c r="X27" s="165">
        <v>25</v>
      </c>
      <c r="Y27" s="32"/>
    </row>
    <row r="28" spans="1:25" s="11" customFormat="1" ht="45" customHeight="1" thickBot="1" x14ac:dyDescent="0.35">
      <c r="B28" s="32"/>
      <c r="C28" s="68" t="str">
        <f>IF(OR(I28="",I28="None"),"-",IF(OR(K28="",K28="None"),E28&amp; " "&amp;"SEM-"&amp;F28&amp;" "&amp;"SKS-"&amp;G28&amp;  " "&amp;H28&amp;" "&amp;J28,E28&amp; " "&amp;"SEM-"&amp;F28&amp;" SKS-"&amp;G28&amp;" "&amp;"S"&amp;H28&amp;  " "&amp;H28&amp;" "&amp;J28&amp;"/"&amp;L28))</f>
        <v>Matematika  Dasar I SEM-1 SKS-3 B RS</v>
      </c>
      <c r="D28" s="14" t="str">
        <f>IF(J$26&gt;='TABLE SISTEM'!A$4,'TABLE MK'!A$5,"")</f>
        <v>INF-55201-101</v>
      </c>
      <c r="E28" s="14" t="str">
        <f>IF(D28="","",(VLOOKUP(D28,Table1[Kode MK]:Table1[[#All],[Kode MK]:[Mata Kuliah Prasyarat]],2,)))</f>
        <v>Matematika  Dasar I</v>
      </c>
      <c r="F28" s="15">
        <f>IF(D28="","",(VLOOKUP(D28,Table1[Kode MK]:Table1[[#All],[Kode MK]:[Mata Kuliah Prasyarat]],3,)))</f>
        <v>1</v>
      </c>
      <c r="G28" s="15">
        <f>IF(D28="","",(VLOOKUP(D28,Table1[Kode MK]:Table1[[#All],[Kode MK]:[Mata Kuliah Prasyarat]],4,)))</f>
        <v>3</v>
      </c>
      <c r="H28" s="15" t="str">
        <f>IF(D28="","","B")</f>
        <v>B</v>
      </c>
      <c r="I28" s="39" t="s">
        <v>117</v>
      </c>
      <c r="J28" s="17" t="str">
        <f>IF(I28="","",(VLOOKUP(I28,tbDosen[NAMA DOSEN]:tbDosen[[NAMA DOSEN]:[KODE]],2,)))</f>
        <v>RS</v>
      </c>
      <c r="K28" s="39" t="s">
        <v>105</v>
      </c>
      <c r="L28" s="17" t="str">
        <f>IF(K28="","",(VLOOKUP(K28,tbDosen[NAMA DOSEN]:tbDosen[[NAMA DOSEN]:[KODE]],2,)))</f>
        <v>-</v>
      </c>
      <c r="M28" s="16" t="str">
        <f>IF(OR(I28="",I28="None"),"",IF(OR(K28="",K28="None"),I28,I28&amp;" / "&amp;K28))</f>
        <v>Rina Septiriana, S.T., M.Cs.</v>
      </c>
      <c r="N28" s="16" t="str">
        <f t="shared" si="2"/>
        <v>RS</v>
      </c>
      <c r="O28" s="18">
        <f>IF(OR(I28="",I28="None"),"",IF(OR(K28="",K28="None"),G28,G28/2))</f>
        <v>3</v>
      </c>
      <c r="P28" s="61" t="str">
        <f>IF(D28="","",(IF(AND(G28=4,U28&lt;2),"ADA",IF(AND(G28&lt;4,U28=0),"ADA","TIDAK"))))</f>
        <v>TIDAK</v>
      </c>
      <c r="Q28" s="203" t="str">
        <f t="shared" si="3"/>
        <v/>
      </c>
      <c r="R28" s="203" t="str">
        <f t="shared" si="4"/>
        <v/>
      </c>
      <c r="S28" s="203" t="str">
        <f t="shared" si="5"/>
        <v/>
      </c>
      <c r="T28" s="203" t="str">
        <f t="shared" si="6"/>
        <v/>
      </c>
      <c r="U28" s="22">
        <v>1</v>
      </c>
      <c r="V28" s="164" t="str">
        <f t="shared" si="0"/>
        <v>PAS</v>
      </c>
      <c r="W28" s="11" t="str">
        <f t="shared" si="1"/>
        <v/>
      </c>
      <c r="X28" s="165">
        <v>25</v>
      </c>
      <c r="Y28" s="32"/>
    </row>
    <row r="29" spans="1:25" ht="45" customHeight="1" thickBot="1" x14ac:dyDescent="0.35">
      <c r="B29" s="24"/>
      <c r="C29" s="68" t="str">
        <f>IF(OR(I29="",I29="None"),"-",IF(OR(K29="",K29="None"),E29&amp; " "&amp;"SEM-"&amp;F29&amp;" "&amp;"SKS-"&amp;G29&amp;  " "&amp;H29&amp;" "&amp;J29,E29&amp; " "&amp;"SEM-"&amp;F29&amp;" SKS-"&amp;G29&amp;" "&amp;"S"&amp;H29&amp;  " "&amp;H29&amp;" "&amp;J29&amp;"/"&amp;L29))</f>
        <v>Matematika  Dasar I SEM-1 SKS-3 SC C AS/NC</v>
      </c>
      <c r="D29" s="14" t="str">
        <f>IF(J$26&gt;='TABLE SISTEM'!A$5,'TABLE MK'!A$5,"")</f>
        <v>INF-55201-101</v>
      </c>
      <c r="E29" s="14" t="str">
        <f>IF(D29="","",(VLOOKUP(D29,Table1[Kode MK]:Table1[[#All],[Kode MK]:[Mata Kuliah Prasyarat]],2,)))</f>
        <v>Matematika  Dasar I</v>
      </c>
      <c r="F29" s="15">
        <f>IF(D29="","",(VLOOKUP(D29,Table1[Kode MK]:Table1[[#All],[Kode MK]:[Mata Kuliah Prasyarat]],3,)))</f>
        <v>1</v>
      </c>
      <c r="G29" s="15">
        <f>IF(D29="","",(VLOOKUP(D29,Table1[Kode MK]:Table1[[#All],[Kode MK]:[Mata Kuliah Prasyarat]],4,)))</f>
        <v>3</v>
      </c>
      <c r="H29" s="15" t="str">
        <f>IF(D29="","","C")</f>
        <v>C</v>
      </c>
      <c r="I29" s="39" t="s">
        <v>109</v>
      </c>
      <c r="J29" s="17" t="str">
        <f>IF(I29="","",(VLOOKUP(I29,tbDosen[NAMA DOSEN]:tbDosen[[NAMA DOSEN]:[KODE]],2,)))</f>
        <v>AS</v>
      </c>
      <c r="K29" s="39" t="s">
        <v>338</v>
      </c>
      <c r="L29" s="17" t="str">
        <f>IF(K29="","",(VLOOKUP(K29,tbDosen[NAMA DOSEN]:tbDosen[[NAMA DOSEN]:[KODE]],2,)))</f>
        <v>NC</v>
      </c>
      <c r="M29" s="16" t="str">
        <f>IF(OR(I29="",I29="None"),"",IF(OR(K29="",K29="None"),I29,I29&amp;" / "&amp;K29))</f>
        <v>Anggi Srimurdianti, S.T., M.T. / Niken Candraningrum, S.T., M.Cs.</v>
      </c>
      <c r="N29" s="16" t="str">
        <f t="shared" si="2"/>
        <v>AS / NC</v>
      </c>
      <c r="O29" s="18">
        <f>IF(OR(I29="",I29="None"),"",IF(OR(K29="",K29="None"),G29,G29/2))</f>
        <v>1.5</v>
      </c>
      <c r="P29" s="61" t="str">
        <f>IF(D29="","",(IF(AND(G29=4,U29&lt;2),"ADA",IF(AND(G29&lt;4,U29=0),"ADA","TIDAK"))))</f>
        <v>TIDAK</v>
      </c>
      <c r="Q29" s="203" t="str">
        <f t="shared" si="3"/>
        <v/>
      </c>
      <c r="R29" s="203" t="str">
        <f t="shared" si="4"/>
        <v/>
      </c>
      <c r="S29" s="203" t="str">
        <f t="shared" si="5"/>
        <v>Anggi Srimurdianti, S.T., M.T.</v>
      </c>
      <c r="T29" s="203" t="str">
        <f t="shared" si="6"/>
        <v>Niken Candraningrum, S.T., M.Cs.</v>
      </c>
      <c r="U29" s="161">
        <v>1</v>
      </c>
      <c r="V29" s="164" t="str">
        <f t="shared" si="0"/>
        <v>PAS</v>
      </c>
      <c r="W29" s="11" t="str">
        <f t="shared" si="1"/>
        <v/>
      </c>
      <c r="X29" s="165">
        <v>25</v>
      </c>
      <c r="Y29" s="24"/>
    </row>
    <row r="30" spans="1:25" ht="45" customHeight="1" thickBot="1" x14ac:dyDescent="0.35">
      <c r="B30" s="24"/>
      <c r="C30" s="68" t="str">
        <f>IF(OR(I30="",I30="None"),"-",IF(OR(K30="",K30="None"),E30&amp; " "&amp;"SEM-"&amp;F30&amp;" "&amp;"SKS-"&amp;G30&amp;  " "&amp;H30&amp;" "&amp;J30,E30&amp; " "&amp;"SEM-"&amp;F30&amp;" SKS-"&amp;G30&amp;" "&amp;"S"&amp;H30&amp;  " "&amp;H30&amp;" "&amp;J30&amp;"/"&amp;L30))</f>
        <v>Matematika  Dasar I SEM-1 SKS-3 SD D RS/NC</v>
      </c>
      <c r="D30" s="14" t="str">
        <f>IF(J$26&gt;='TABLE SISTEM'!A$6,'TABLE MK'!A$5,"")</f>
        <v>INF-55201-101</v>
      </c>
      <c r="E30" s="14" t="str">
        <f>IF(D30="","",(VLOOKUP(D30,Table1[Kode MK]:Table1[[#All],[Kode MK]:[Mata Kuliah Prasyarat]],2,)))</f>
        <v>Matematika  Dasar I</v>
      </c>
      <c r="F30" s="15">
        <f>IF(D30="","",(VLOOKUP(D30,Table1[Kode MK]:Table1[[#All],[Kode MK]:[Mata Kuliah Prasyarat]],3,)))</f>
        <v>1</v>
      </c>
      <c r="G30" s="15">
        <f>IF(D30="","",(VLOOKUP(D30,Table1[Kode MK]:Table1[[#All],[Kode MK]:[Mata Kuliah Prasyarat]],4,)))</f>
        <v>3</v>
      </c>
      <c r="H30" s="15" t="str">
        <f>IF(D30="","","D")</f>
        <v>D</v>
      </c>
      <c r="I30" s="39" t="s">
        <v>117</v>
      </c>
      <c r="J30" s="17" t="str">
        <f>IF(I30="","",(VLOOKUP(I30,tbDosen[NAMA DOSEN]:tbDosen[[NAMA DOSEN]:[KODE]],2,)))</f>
        <v>RS</v>
      </c>
      <c r="K30" s="39" t="s">
        <v>338</v>
      </c>
      <c r="L30" s="17" t="str">
        <f>IF(K30="","",(VLOOKUP(K30,tbDosen[NAMA DOSEN]:tbDosen[[NAMA DOSEN]:[KODE]],2,)))</f>
        <v>NC</v>
      </c>
      <c r="M30" s="16" t="str">
        <f>IF(OR(I30="",I30="None"),"",IF(OR(K30="",K30="None"),I30,I30&amp;" / "&amp;K30))</f>
        <v>Rina Septiriana, S.T., M.Cs. / Niken Candraningrum, S.T., M.Cs.</v>
      </c>
      <c r="N30" s="16" t="str">
        <f t="shared" si="2"/>
        <v>RS / NC</v>
      </c>
      <c r="O30" s="18">
        <f>IF(OR(I30="",I30="None"),"",IF(OR(K30="",K30="None"),G30,G30/2))</f>
        <v>1.5</v>
      </c>
      <c r="P30" s="61" t="str">
        <f>IF(D30="","",(IF(AND(G30=4,U30&lt;2),"ADA",IF(AND(G30&lt;4,U30=0),"ADA","TIDAK"))))</f>
        <v>TIDAK</v>
      </c>
      <c r="Q30" s="203" t="str">
        <f t="shared" si="3"/>
        <v/>
      </c>
      <c r="R30" s="203" t="str">
        <f t="shared" si="4"/>
        <v/>
      </c>
      <c r="S30" s="203" t="str">
        <f t="shared" si="5"/>
        <v>Rina Septiriana, S.T., M.Cs.</v>
      </c>
      <c r="T30" s="203" t="str">
        <f t="shared" si="6"/>
        <v>Niken Candraningrum, S.T., M.Cs.</v>
      </c>
      <c r="U30" s="161">
        <v>1</v>
      </c>
      <c r="V30" s="164" t="str">
        <f t="shared" si="0"/>
        <v>PAS</v>
      </c>
      <c r="W30" s="11" t="str">
        <f t="shared" si="1"/>
        <v/>
      </c>
      <c r="X30" s="165">
        <v>25</v>
      </c>
      <c r="Y30" s="24"/>
    </row>
    <row r="31" spans="1:25" ht="45" customHeight="1" thickBot="1" x14ac:dyDescent="0.35">
      <c r="B31" s="24"/>
      <c r="C31" s="68" t="str">
        <f>IF(OR(I31="",I31="None"),"-",IF(OR(K31="",K31="None"),E31&amp; " "&amp;"SEM-"&amp;F31&amp;" "&amp;"SKS-"&amp;G31&amp;  " "&amp;H31&amp;" "&amp;J31,E31&amp; " "&amp;"SEM-"&amp;F31&amp;" SKS-"&amp;G31&amp;" "&amp;"S"&amp;H31&amp;  " "&amp;H31&amp;" "&amp;J31&amp;"/"&amp;L31))</f>
        <v>-</v>
      </c>
      <c r="D31" s="14" t="str">
        <f>IF(J$26&gt;='TABLE SISTEM'!A$7,'TABLE MK'!A$5,"")</f>
        <v/>
      </c>
      <c r="E31" s="14" t="str">
        <f>IF(D31="","",(VLOOKUP(D31,Table1[Kode MK]:Table1[[#All],[Kode MK]:[Mata Kuliah Prasyarat]],2,)))</f>
        <v/>
      </c>
      <c r="F31" s="15" t="str">
        <f>IF(D31="","",(VLOOKUP(D31,Table1[Kode MK]:Table1[[#All],[Kode MK]:[Mata Kuliah Prasyarat]],3,)))</f>
        <v/>
      </c>
      <c r="G31" s="15" t="str">
        <f>IF(D31="","",(VLOOKUP(D31,Table1[Kode MK]:Table1[[#All],[Kode MK]:[Mata Kuliah Prasyarat]],4,)))</f>
        <v/>
      </c>
      <c r="H31" s="15" t="str">
        <f>IF(D31="","","E")</f>
        <v/>
      </c>
      <c r="I31" s="39" t="s">
        <v>105</v>
      </c>
      <c r="J31" s="17" t="str">
        <f>IF(I31="","",(VLOOKUP(I31,tbDosen[NAMA DOSEN]:tbDosen[[NAMA DOSEN]:[KODE]],2,)))</f>
        <v>-</v>
      </c>
      <c r="K31" s="39" t="s">
        <v>105</v>
      </c>
      <c r="L31" s="17" t="str">
        <f>IF(K31="","",(VLOOKUP(K31,tbDosen[NAMA DOSEN]:tbDosen[[NAMA DOSEN]:[KODE]],2,)))</f>
        <v>-</v>
      </c>
      <c r="M31" s="16" t="str">
        <f>IF(OR(I31="",I31="None"),"",IF(OR(K31="",K31="None"),I31,I31&amp;" / "&amp;K31))</f>
        <v/>
      </c>
      <c r="N31" s="16" t="str">
        <f t="shared" si="2"/>
        <v/>
      </c>
      <c r="O31" s="18" t="str">
        <f>IF(OR(I31="",I31="None"),"",IF(OR(K31="",K31="None"),G31,G31/2))</f>
        <v/>
      </c>
      <c r="P31" s="62" t="str">
        <f>IF(D31="","",(IF(AND(G31=4,U31&lt;2),"ADA",IF(AND(G31&lt;4,U31=0),"ADA","TIDAK"))))</f>
        <v/>
      </c>
      <c r="Q31" s="203" t="str">
        <f t="shared" si="3"/>
        <v/>
      </c>
      <c r="R31" s="203" t="str">
        <f t="shared" si="4"/>
        <v/>
      </c>
      <c r="S31" s="203" t="str">
        <f t="shared" si="5"/>
        <v/>
      </c>
      <c r="T31" s="203" t="str">
        <f t="shared" si="6"/>
        <v/>
      </c>
      <c r="U31" s="161">
        <v>0</v>
      </c>
      <c r="V31" s="164" t="str">
        <f t="shared" si="0"/>
        <v/>
      </c>
      <c r="W31" s="11" t="str">
        <f t="shared" si="1"/>
        <v/>
      </c>
      <c r="X31" s="165"/>
      <c r="Y31" s="24"/>
    </row>
    <row r="32" spans="1:25" ht="45" customHeight="1" thickBot="1" x14ac:dyDescent="0.35">
      <c r="B32" s="24"/>
      <c r="C32" s="67"/>
      <c r="D32" s="41" t="s">
        <v>157</v>
      </c>
      <c r="E32" s="256" t="str">
        <f>'TABLE MK'!B6</f>
        <v>Logika Informatika</v>
      </c>
      <c r="F32" s="256"/>
      <c r="G32" s="256"/>
      <c r="H32" s="256"/>
      <c r="I32" s="41" t="s">
        <v>95</v>
      </c>
      <c r="J32" s="40">
        <v>3</v>
      </c>
      <c r="K32" s="42"/>
      <c r="L32" s="43"/>
      <c r="M32" s="43" t="s">
        <v>161</v>
      </c>
      <c r="N32" s="45"/>
      <c r="O32" s="42"/>
      <c r="P32" s="63"/>
      <c r="Q32" s="203" t="str">
        <f t="shared" si="3"/>
        <v/>
      </c>
      <c r="R32" s="203" t="str">
        <f t="shared" si="4"/>
        <v/>
      </c>
      <c r="S32" s="203" t="str">
        <f t="shared" si="5"/>
        <v>Jumlah Kelas</v>
      </c>
      <c r="T32" s="203">
        <f t="shared" si="6"/>
        <v>0</v>
      </c>
      <c r="U32" s="161">
        <v>0</v>
      </c>
      <c r="V32" s="164" t="str">
        <f t="shared" si="0"/>
        <v/>
      </c>
      <c r="W32" s="11" t="str">
        <f t="shared" si="1"/>
        <v/>
      </c>
      <c r="X32" s="165"/>
      <c r="Y32" s="24"/>
    </row>
    <row r="33" spans="2:25" ht="45" customHeight="1" thickBot="1" x14ac:dyDescent="0.35">
      <c r="B33" s="24"/>
      <c r="C33" s="68" t="str">
        <f>IF(OR(I33="",I33="None"),"-",IF(OR(K33="",K33="None"),E33&amp; " "&amp;"SEM-"&amp;F33&amp;" "&amp;"SKS-"&amp;G33&amp;  " "&amp;H33&amp;" "&amp;J33,E33&amp; " "&amp;"SEM-"&amp;F33&amp;" SKS-"&amp;G33&amp;" "&amp;"S"&amp;H33&amp;  " "&amp;H33&amp;" "&amp;J33&amp;"/"&amp;L33))</f>
        <v>Logika Informatika SEM-1 SKS-3 SA A TR/NC</v>
      </c>
      <c r="D33" s="14" t="str">
        <f>IF(J$32&gt;='TABLE SISTEM'!A$3,'TABLE MK'!A$6,"")</f>
        <v>INF-55201-102</v>
      </c>
      <c r="E33" s="14" t="str">
        <f>IF(D33="","",(VLOOKUP(D33,Table1[Kode MK]:Table1[[#All],[Kode MK]:[Mata Kuliah Prasyarat]],2,)))</f>
        <v>Logika Informatika</v>
      </c>
      <c r="F33" s="15">
        <f>IF(D33="","",(VLOOKUP(D33,Table1[Kode MK]:Table1[[#All],[Kode MK]:[Mata Kuliah Prasyarat]],3,)))</f>
        <v>1</v>
      </c>
      <c r="G33" s="15">
        <f>IF(D33="","",(VLOOKUP(D33,Table1[Kode MK]:Table1[[#All],[Kode MK]:[Mata Kuliah Prasyarat]],4,)))</f>
        <v>3</v>
      </c>
      <c r="H33" s="15" t="str">
        <f>IF(D33="","","A")</f>
        <v>A</v>
      </c>
      <c r="I33" s="39" t="s">
        <v>143</v>
      </c>
      <c r="J33" s="17" t="str">
        <f>IF(I33="","",(VLOOKUP(I33,tbDosen[NAMA DOSEN]:tbDosen[[NAMA DOSEN]:[KODE]],2,)))</f>
        <v>TR</v>
      </c>
      <c r="K33" s="39" t="s">
        <v>338</v>
      </c>
      <c r="L33" s="17" t="str">
        <f>IF(K33="","",(VLOOKUP(K33,tbDosen[NAMA DOSEN]:tbDosen[[NAMA DOSEN]:[KODE]],2,)))</f>
        <v>NC</v>
      </c>
      <c r="M33" s="16" t="str">
        <f>IF(OR(I33="",I33="None"),"",IF(OR(K33="",K33="None"),I33,I33&amp;" / "&amp;K33))</f>
        <v>Tursina ST, M.Cs / Niken Candraningrum, S.T., M.Cs.</v>
      </c>
      <c r="N33" s="16" t="str">
        <f t="shared" si="2"/>
        <v>TR / NC</v>
      </c>
      <c r="O33" s="18">
        <f>IF(OR(I33="",I33="None"),"",IF(OR(K33="",K33="None"),G33,G33/2))</f>
        <v>1.5</v>
      </c>
      <c r="P33" s="60" t="str">
        <f>IF(D33="","",(IF(AND(G33=4,U33&lt;2),"ADA",IF(AND(G33&lt;4,U33=0),"ADA","TIDAK"))))</f>
        <v>TIDAK</v>
      </c>
      <c r="Q33" s="203" t="str">
        <f t="shared" si="3"/>
        <v/>
      </c>
      <c r="R33" s="203" t="str">
        <f t="shared" si="4"/>
        <v/>
      </c>
      <c r="S33" s="203" t="str">
        <f t="shared" si="5"/>
        <v>Tursina ST, M.Cs</v>
      </c>
      <c r="T33" s="203" t="str">
        <f t="shared" si="6"/>
        <v>Niken Candraningrum, S.T., M.Cs.</v>
      </c>
      <c r="U33" s="161">
        <v>1</v>
      </c>
      <c r="V33" s="164" t="str">
        <f t="shared" si="0"/>
        <v>PAS</v>
      </c>
      <c r="W33" s="11" t="str">
        <f t="shared" si="1"/>
        <v/>
      </c>
      <c r="X33" s="165">
        <v>35</v>
      </c>
      <c r="Y33" s="24"/>
    </row>
    <row r="34" spans="2:25" ht="45" customHeight="1" thickBot="1" x14ac:dyDescent="0.35">
      <c r="B34" s="24"/>
      <c r="C34" s="68" t="str">
        <f>IF(OR(I34="",I34="None"),"-",IF(OR(K34="",K34="None"),E34&amp; " "&amp;"SEM-"&amp;F34&amp;" "&amp;"SKS-"&amp;G34&amp;  " "&amp;H34&amp;" "&amp;J34,E34&amp; " "&amp;"SEM-"&amp;F34&amp;" SKS-"&amp;G34&amp;" "&amp;"S"&amp;H34&amp;  " "&amp;H34&amp;" "&amp;J34&amp;"/"&amp;L34))</f>
        <v>Logika Informatika SEM-1 SKS-3 SB B TR/NC</v>
      </c>
      <c r="D34" s="14" t="str">
        <f>IF(J$32&gt;='TABLE SISTEM'!A$4,'TABLE MK'!A$6,"")</f>
        <v>INF-55201-102</v>
      </c>
      <c r="E34" s="14" t="str">
        <f>IF(D34="","",(VLOOKUP(D34,Table1[Kode MK]:Table1[[#All],[Kode MK]:[Mata Kuliah Prasyarat]],2,)))</f>
        <v>Logika Informatika</v>
      </c>
      <c r="F34" s="15">
        <f>IF(D34="","",(VLOOKUP(D34,Table1[Kode MK]:Table1[[#All],[Kode MK]:[Mata Kuliah Prasyarat]],3,)))</f>
        <v>1</v>
      </c>
      <c r="G34" s="15">
        <f>IF(D34="","",(VLOOKUP(D34,Table1[Kode MK]:Table1[[#All],[Kode MK]:[Mata Kuliah Prasyarat]],4,)))</f>
        <v>3</v>
      </c>
      <c r="H34" s="15" t="str">
        <f>IF(D34="","","B")</f>
        <v>B</v>
      </c>
      <c r="I34" s="21" t="s">
        <v>143</v>
      </c>
      <c r="J34" s="17" t="str">
        <f>IF(I34="","",(VLOOKUP(I34,tbDosen[NAMA DOSEN]:tbDosen[[NAMA DOSEN]:[KODE]],2,)))</f>
        <v>TR</v>
      </c>
      <c r="K34" s="39" t="s">
        <v>338</v>
      </c>
      <c r="L34" s="17" t="str">
        <f>IF(K34="","",(VLOOKUP(K34,tbDosen[NAMA DOSEN]:tbDosen[[NAMA DOSEN]:[KODE]],2,)))</f>
        <v>NC</v>
      </c>
      <c r="M34" s="16" t="str">
        <f>IF(OR(I34="",I34="None"),"",IF(OR(K34="",K34="None"),I34,I34&amp;" / "&amp;K34))</f>
        <v>Tursina ST, M.Cs / Niken Candraningrum, S.T., M.Cs.</v>
      </c>
      <c r="N34" s="16" t="str">
        <f t="shared" si="2"/>
        <v>TR / NC</v>
      </c>
      <c r="O34" s="18">
        <f>IF(OR(I34="",I34="None"),"",IF(OR(K34="",K34="None"),G34,G34/2))</f>
        <v>1.5</v>
      </c>
      <c r="P34" s="61" t="str">
        <f>IF(D34="","",(IF(AND(G34=4,U34&lt;2),"ADA",IF(AND(G34&lt;4,U34=0),"ADA","TIDAK"))))</f>
        <v>TIDAK</v>
      </c>
      <c r="Q34" s="203" t="str">
        <f t="shared" si="3"/>
        <v/>
      </c>
      <c r="R34" s="203" t="str">
        <f t="shared" si="4"/>
        <v/>
      </c>
      <c r="S34" s="203" t="str">
        <f t="shared" si="5"/>
        <v>Tursina ST, M.Cs</v>
      </c>
      <c r="T34" s="203" t="str">
        <f t="shared" si="6"/>
        <v>Niken Candraningrum, S.T., M.Cs.</v>
      </c>
      <c r="U34" s="161">
        <v>1</v>
      </c>
      <c r="V34" s="164" t="str">
        <f t="shared" si="0"/>
        <v>PAS</v>
      </c>
      <c r="W34" s="11" t="str">
        <f t="shared" si="1"/>
        <v/>
      </c>
      <c r="X34" s="165">
        <v>35</v>
      </c>
      <c r="Y34" s="24"/>
    </row>
    <row r="35" spans="2:25" ht="45" customHeight="1" thickBot="1" x14ac:dyDescent="0.35">
      <c r="B35" s="24"/>
      <c r="C35" s="68" t="str">
        <f>IF(OR(I35="",I35="None"),"-",IF(OR(K35="",K35="None"),E35&amp; " "&amp;"SEM-"&amp;F35&amp;" "&amp;"SKS-"&amp;G35&amp;  " "&amp;H35&amp;" "&amp;J35,E35&amp; " "&amp;"SEM-"&amp;F35&amp;" SKS-"&amp;G35&amp;" "&amp;"S"&amp;H35&amp;  " "&amp;H35&amp;" "&amp;J35&amp;"/"&amp;L35))</f>
        <v>Logika Informatika SEM-1 SKS-3 SC C TR/NC</v>
      </c>
      <c r="D35" s="14" t="str">
        <f>IF(J$32&gt;='TABLE SISTEM'!A$5,'TABLE MK'!A$6,"")</f>
        <v>INF-55201-102</v>
      </c>
      <c r="E35" s="14" t="str">
        <f>IF(D35="","",(VLOOKUP(D35,Table1[Kode MK]:Table1[[#All],[Kode MK]:[Mata Kuliah Prasyarat]],2,)))</f>
        <v>Logika Informatika</v>
      </c>
      <c r="F35" s="15">
        <f>IF(D35="","",(VLOOKUP(D35,Table1[Kode MK]:Table1[[#All],[Kode MK]:[Mata Kuliah Prasyarat]],3,)))</f>
        <v>1</v>
      </c>
      <c r="G35" s="15">
        <f>IF(D35="","",(VLOOKUP(D35,Table1[Kode MK]:Table1[[#All],[Kode MK]:[Mata Kuliah Prasyarat]],4,)))</f>
        <v>3</v>
      </c>
      <c r="H35" s="15" t="str">
        <f>IF(D35="","","C")</f>
        <v>C</v>
      </c>
      <c r="I35" s="21" t="s">
        <v>143</v>
      </c>
      <c r="J35" s="17" t="str">
        <f>IF(I35="","",(VLOOKUP(I35,tbDosen[NAMA DOSEN]:tbDosen[[NAMA DOSEN]:[KODE]],2,)))</f>
        <v>TR</v>
      </c>
      <c r="K35" s="39" t="s">
        <v>338</v>
      </c>
      <c r="L35" s="17" t="str">
        <f>IF(K35="","",(VLOOKUP(K35,tbDosen[NAMA DOSEN]:tbDosen[[NAMA DOSEN]:[KODE]],2,)))</f>
        <v>NC</v>
      </c>
      <c r="M35" s="16" t="str">
        <f>IF(OR(I35="",I35="None"),"",IF(OR(K35="",K35="None"),I35,I35&amp;" / "&amp;K35))</f>
        <v>Tursina ST, M.Cs / Niken Candraningrum, S.T., M.Cs.</v>
      </c>
      <c r="N35" s="16" t="str">
        <f t="shared" si="2"/>
        <v>TR / NC</v>
      </c>
      <c r="O35" s="18">
        <f>IF(OR(I35="",I35="None"),"",IF(OR(K35="",K35="None"),G35,G35/2))</f>
        <v>1.5</v>
      </c>
      <c r="P35" s="61" t="str">
        <f>IF(D35="","",(IF(AND(G35=4,U35&lt;2),"ADA",IF(AND(G35&lt;4,U35=0),"ADA","TIDAK"))))</f>
        <v>TIDAK</v>
      </c>
      <c r="Q35" s="203" t="str">
        <f t="shared" si="3"/>
        <v/>
      </c>
      <c r="R35" s="203" t="str">
        <f t="shared" si="4"/>
        <v/>
      </c>
      <c r="S35" s="203" t="str">
        <f t="shared" si="5"/>
        <v>Tursina ST, M.Cs</v>
      </c>
      <c r="T35" s="203" t="str">
        <f t="shared" si="6"/>
        <v>Niken Candraningrum, S.T., M.Cs.</v>
      </c>
      <c r="U35" s="161">
        <v>1</v>
      </c>
      <c r="V35" s="164" t="str">
        <f t="shared" si="0"/>
        <v>PAS</v>
      </c>
      <c r="W35" s="11" t="str">
        <f t="shared" si="1"/>
        <v/>
      </c>
      <c r="X35" s="165">
        <v>35</v>
      </c>
      <c r="Y35" s="24"/>
    </row>
    <row r="36" spans="2:25" ht="45" customHeight="1" thickBot="1" x14ac:dyDescent="0.35">
      <c r="B36" s="24"/>
      <c r="C36" s="68" t="str">
        <f>IF(OR(I36="",I36="None"),"-",IF(OR(K36="",K36="None"),E36&amp; " "&amp;"SEM-"&amp;F36&amp;" "&amp;"SKS-"&amp;G36&amp;  " "&amp;H36&amp;" "&amp;J36,E36&amp; " "&amp;"SEM-"&amp;F36&amp;" SKS-"&amp;G36&amp;" "&amp;"S"&amp;H36&amp;  " "&amp;H36&amp;" "&amp;J36&amp;"/"&amp;L36))</f>
        <v>-</v>
      </c>
      <c r="D36" s="14" t="str">
        <f>IF(J$32&gt;='TABLE SISTEM'!A$6,'TABLE MK'!A$6,"")</f>
        <v/>
      </c>
      <c r="E36" s="14" t="str">
        <f>IF(D36="","",(VLOOKUP(D36,Table1[Kode MK]:Table1[[#All],[Kode MK]:[Mata Kuliah Prasyarat]],2,)))</f>
        <v/>
      </c>
      <c r="F36" s="15" t="str">
        <f>IF(D36="","",(VLOOKUP(D36,Table1[Kode MK]:Table1[[#All],[Kode MK]:[Mata Kuliah Prasyarat]],3,)))</f>
        <v/>
      </c>
      <c r="G36" s="15" t="str">
        <f>IF(D36="","",(VLOOKUP(D36,Table1[Kode MK]:Table1[[#All],[Kode MK]:[Mata Kuliah Prasyarat]],4,)))</f>
        <v/>
      </c>
      <c r="H36" s="15" t="str">
        <f>IF(D36="","","D")</f>
        <v/>
      </c>
      <c r="I36" s="44" t="s">
        <v>105</v>
      </c>
      <c r="J36" s="17" t="str">
        <f>IF(I36="","",(VLOOKUP(I36,tbDosen[NAMA DOSEN]:tbDosen[[NAMA DOSEN]:[KODE]],2,)))</f>
        <v>-</v>
      </c>
      <c r="K36" s="39" t="s">
        <v>105</v>
      </c>
      <c r="L36" s="17" t="str">
        <f>IF(K36="","",(VLOOKUP(K36,tbDosen[NAMA DOSEN]:tbDosen[[NAMA DOSEN]:[KODE]],2,)))</f>
        <v>-</v>
      </c>
      <c r="M36" s="16" t="str">
        <f>IF(OR(I36="",I36="None"),"",IF(OR(K36="",K36="None"),I36,I36&amp;" / "&amp;K36))</f>
        <v/>
      </c>
      <c r="N36" s="16" t="str">
        <f t="shared" si="2"/>
        <v/>
      </c>
      <c r="O36" s="18" t="str">
        <f>IF(OR(I36="",I36="None"),"",IF(OR(K36="",K36="None"),G36,G36/2))</f>
        <v/>
      </c>
      <c r="P36" s="61" t="str">
        <f>IF(D36="","",(IF(AND(G36=4,U36&lt;2),"ADA",IF(AND(G36&lt;4,U36=0),"ADA","TIDAK"))))</f>
        <v/>
      </c>
      <c r="Q36" s="203" t="str">
        <f t="shared" si="3"/>
        <v/>
      </c>
      <c r="R36" s="203" t="str">
        <f t="shared" si="4"/>
        <v/>
      </c>
      <c r="S36" s="203" t="str">
        <f t="shared" si="5"/>
        <v/>
      </c>
      <c r="T36" s="203" t="str">
        <f t="shared" si="6"/>
        <v/>
      </c>
      <c r="U36" s="161">
        <v>0</v>
      </c>
      <c r="V36" s="164" t="str">
        <f t="shared" si="0"/>
        <v/>
      </c>
      <c r="W36" s="11" t="str">
        <f t="shared" si="1"/>
        <v/>
      </c>
      <c r="X36" s="165"/>
      <c r="Y36" s="24"/>
    </row>
    <row r="37" spans="2:25" ht="45" customHeight="1" thickBot="1" x14ac:dyDescent="0.35">
      <c r="B37" s="24"/>
      <c r="C37" s="68" t="str">
        <f>IF(OR(I37="",I37="None"),"-",IF(OR(K37="",K37="None"),E37&amp; " "&amp;"SEM-"&amp;F37&amp;" "&amp;"SKS-"&amp;G37&amp;  " "&amp;H37&amp;" "&amp;J37,E37&amp; " "&amp;"SEM-"&amp;F37&amp;" SKS-"&amp;G37&amp;" "&amp;"S"&amp;H37&amp;  " "&amp;H37&amp;" "&amp;J37&amp;"/"&amp;L37))</f>
        <v>-</v>
      </c>
      <c r="D37" s="14" t="str">
        <f>IF(J$32&gt;='TABLE SISTEM'!A$7,'TABLE MK'!A$6,"")</f>
        <v/>
      </c>
      <c r="E37" s="14" t="str">
        <f>IF(D37="","",(VLOOKUP(D37,Table1[Kode MK]:Table1[[#All],[Kode MK]:[Mata Kuliah Prasyarat]],2,)))</f>
        <v/>
      </c>
      <c r="F37" s="15" t="str">
        <f>IF(D37="","",(VLOOKUP(D37,Table1[Kode MK]:Table1[[#All],[Kode MK]:[Mata Kuliah Prasyarat]],3,)))</f>
        <v/>
      </c>
      <c r="G37" s="15" t="str">
        <f>IF(D37="","",(VLOOKUP(D37,Table1[Kode MK]:Table1[[#All],[Kode MK]:[Mata Kuliah Prasyarat]],4,)))</f>
        <v/>
      </c>
      <c r="H37" s="15" t="str">
        <f>IF(D37="","","E")</f>
        <v/>
      </c>
      <c r="I37" s="44" t="s">
        <v>105</v>
      </c>
      <c r="J37" s="17" t="str">
        <f>IF(I37="","",(VLOOKUP(I37,tbDosen[NAMA DOSEN]:tbDosen[[NAMA DOSEN]:[KODE]],2,)))</f>
        <v>-</v>
      </c>
      <c r="K37" s="39" t="s">
        <v>105</v>
      </c>
      <c r="L37" s="17" t="str">
        <f>IF(K37="","",(VLOOKUP(K37,tbDosen[NAMA DOSEN]:tbDosen[[NAMA DOSEN]:[KODE]],2,)))</f>
        <v>-</v>
      </c>
      <c r="M37" s="16" t="str">
        <f>IF(OR(I37="",I37="None"),"",IF(OR(K37="",K37="None"),I37,I37&amp;" / "&amp;K37))</f>
        <v/>
      </c>
      <c r="N37" s="16" t="str">
        <f t="shared" si="2"/>
        <v/>
      </c>
      <c r="O37" s="18" t="str">
        <f>IF(OR(I37="",I37="None"),"",IF(OR(K37="",K37="None"),G37,G37/2))</f>
        <v/>
      </c>
      <c r="P37" s="62" t="str">
        <f>IF(D37="","",(IF(AND(G37=4,U37&lt;2),"ADA",IF(AND(G37&lt;4,U37=0),"ADA","TIDAK"))))</f>
        <v/>
      </c>
      <c r="Q37" s="203" t="str">
        <f t="shared" si="3"/>
        <v/>
      </c>
      <c r="R37" s="203" t="str">
        <f t="shared" si="4"/>
        <v/>
      </c>
      <c r="S37" s="203" t="str">
        <f t="shared" si="5"/>
        <v/>
      </c>
      <c r="T37" s="203" t="str">
        <f t="shared" si="6"/>
        <v/>
      </c>
      <c r="U37" s="161">
        <v>0</v>
      </c>
      <c r="V37" s="164" t="str">
        <f t="shared" si="0"/>
        <v/>
      </c>
      <c r="W37" s="11" t="str">
        <f t="shared" si="1"/>
        <v/>
      </c>
      <c r="X37" s="165"/>
      <c r="Y37" s="24"/>
    </row>
    <row r="38" spans="2:25" ht="45" customHeight="1" thickBot="1" x14ac:dyDescent="0.35">
      <c r="B38" s="24"/>
      <c r="C38" s="67"/>
      <c r="D38" s="41" t="s">
        <v>157</v>
      </c>
      <c r="E38" s="256" t="str">
        <f>'TABLE MK'!B7</f>
        <v>Dasar  Pemrograman*</v>
      </c>
      <c r="F38" s="256"/>
      <c r="G38" s="256"/>
      <c r="H38" s="256"/>
      <c r="I38" s="41" t="s">
        <v>95</v>
      </c>
      <c r="J38" s="40">
        <v>3</v>
      </c>
      <c r="K38" s="42"/>
      <c r="L38" s="43"/>
      <c r="M38" s="43" t="s">
        <v>161</v>
      </c>
      <c r="N38" s="45"/>
      <c r="O38" s="42"/>
      <c r="P38" s="63"/>
      <c r="Q38" s="203" t="str">
        <f t="shared" si="3"/>
        <v/>
      </c>
      <c r="R38" s="203" t="str">
        <f t="shared" si="4"/>
        <v/>
      </c>
      <c r="S38" s="203" t="str">
        <f t="shared" si="5"/>
        <v>Jumlah Kelas</v>
      </c>
      <c r="T38" s="203">
        <f t="shared" si="6"/>
        <v>0</v>
      </c>
      <c r="U38" s="161">
        <v>0</v>
      </c>
      <c r="V38" s="164" t="str">
        <f t="shared" si="0"/>
        <v/>
      </c>
      <c r="W38" s="11" t="str">
        <f t="shared" si="1"/>
        <v/>
      </c>
      <c r="X38" s="165"/>
      <c r="Y38" s="24"/>
    </row>
    <row r="39" spans="2:25" ht="45" customHeight="1" thickBot="1" x14ac:dyDescent="0.35">
      <c r="B39" s="24"/>
      <c r="C39" s="68" t="str">
        <f>IF(OR(I39="",I39="None"),"-",IF(OR(K39="",K39="None"),E39&amp; " "&amp;"SEM-"&amp;F39&amp;" "&amp;"SKS-"&amp;G39&amp;  " "&amp;H39&amp;" "&amp;J39,E39&amp; " "&amp;"SEM-"&amp;F39&amp;" SKS-"&amp;G39&amp;" "&amp;"S"&amp;H39&amp;  " "&amp;H39&amp;" "&amp;J39&amp;"/"&amp;L39))</f>
        <v>Dasar  Pemrograman* SEM-1 SKS-4 A ABP</v>
      </c>
      <c r="D39" s="14" t="str">
        <f>IF(J$38&gt;='TABLE SISTEM'!A$3,'TABLE MK'!A$7,"")</f>
        <v>INF-55201-103</v>
      </c>
      <c r="E39" s="14" t="str">
        <f>IF(D39="","",(VLOOKUP(D39,Table1[Kode MK]:Table1[[#All],[Kode MK]:[Mata Kuliah Prasyarat]],2,)))</f>
        <v>Dasar  Pemrograman*</v>
      </c>
      <c r="F39" s="15">
        <f>IF(D39="","",(VLOOKUP(D39,Table1[Kode MK]:Table1[[#All],[Kode MK]:[Mata Kuliah Prasyarat]],3,)))</f>
        <v>1</v>
      </c>
      <c r="G39" s="15">
        <f>IF(D39="","",(VLOOKUP(D39,Table1[Kode MK]:Table1[[#All],[Kode MK]:[Mata Kuliah Prasyarat]],4,)))</f>
        <v>4</v>
      </c>
      <c r="H39" s="15" t="str">
        <f>IF(D39="","","A")</f>
        <v>A</v>
      </c>
      <c r="I39" s="39" t="s">
        <v>111</v>
      </c>
      <c r="J39" s="17" t="str">
        <f>IF(I39="","",(VLOOKUP(I39,tbDosen[NAMA DOSEN]:tbDosen[[NAMA DOSEN]:[KODE]],2,)))</f>
        <v>ABP</v>
      </c>
      <c r="K39" s="39" t="s">
        <v>105</v>
      </c>
      <c r="L39" s="17" t="str">
        <f>IF(K39="","",(VLOOKUP(K39,tbDosen[NAMA DOSEN]:tbDosen[[NAMA DOSEN]:[KODE]],2,)))</f>
        <v>-</v>
      </c>
      <c r="M39" s="16" t="str">
        <f>IF(OR(I39="",I39="None"),"",IF(OR(K39="",K39="None"),I39,I39&amp;" / "&amp;K39))</f>
        <v>Dr. Arif BPN, S.T., M.T.</v>
      </c>
      <c r="N39" s="16" t="str">
        <f t="shared" si="2"/>
        <v>ABP</v>
      </c>
      <c r="O39" s="18">
        <f>IF(OR(I39="",I39="None"),"",IF(OR(K39="",K39="None"),G39,G39/2))</f>
        <v>4</v>
      </c>
      <c r="P39" s="60" t="str">
        <f>IF(D39="","",(IF(AND(G39=4,U39&lt;2),"ADA",IF(AND(G39&lt;4,U39=0),"ADA","TIDAK"))))</f>
        <v>TIDAK</v>
      </c>
      <c r="Q39" s="203" t="str">
        <f t="shared" si="3"/>
        <v>Dr. Arif BPN, S.T., M.T.</v>
      </c>
      <c r="R39" s="203" t="str">
        <f t="shared" si="4"/>
        <v>None</v>
      </c>
      <c r="S39" s="203" t="str">
        <f t="shared" si="5"/>
        <v/>
      </c>
      <c r="T39" s="203" t="str">
        <f t="shared" si="6"/>
        <v/>
      </c>
      <c r="U39" s="161">
        <v>2</v>
      </c>
      <c r="V39" s="164" t="str">
        <f t="shared" si="0"/>
        <v>PAS</v>
      </c>
      <c r="W39" s="11" t="str">
        <f t="shared" si="1"/>
        <v/>
      </c>
      <c r="X39" s="165">
        <v>35</v>
      </c>
      <c r="Y39" s="24"/>
    </row>
    <row r="40" spans="2:25" ht="45" customHeight="1" thickBot="1" x14ac:dyDescent="0.35">
      <c r="B40" s="24"/>
      <c r="C40" s="68" t="str">
        <f>IF(OR(I40="",I40="None"),"-",IF(OR(K40="",K40="None"),E40&amp; " "&amp;"SEM-"&amp;F40&amp;" "&amp;"SKS-"&amp;G40&amp;  " "&amp;H40&amp;" "&amp;J40,E40&amp; " "&amp;"SEM-"&amp;F40&amp;" SKS-"&amp;G40&amp;" "&amp;"S"&amp;H40&amp;  " "&amp;H40&amp;" "&amp;J40&amp;"/"&amp;L40))</f>
        <v>Dasar  Pemrograman* SEM-1 SKS-4 B HS</v>
      </c>
      <c r="D40" s="14" t="str">
        <f>IF(J$38&gt;='TABLE SISTEM'!A$4,'TABLE MK'!A$7,"")</f>
        <v>INF-55201-103</v>
      </c>
      <c r="E40" s="14" t="str">
        <f>IF(D40="","",(VLOOKUP(D40,Table1[Kode MK]:Table1[[#All],[Kode MK]:[Mata Kuliah Prasyarat]],2,)))</f>
        <v>Dasar  Pemrograman*</v>
      </c>
      <c r="F40" s="15">
        <f>IF(D40="","",(VLOOKUP(D40,Table1[Kode MK]:Table1[[#All],[Kode MK]:[Mata Kuliah Prasyarat]],3,)))</f>
        <v>1</v>
      </c>
      <c r="G40" s="15">
        <f>IF(D40="","",(VLOOKUP(D40,Table1[Kode MK]:Table1[[#All],[Kode MK]:[Mata Kuliah Prasyarat]],4,)))</f>
        <v>4</v>
      </c>
      <c r="H40" s="15" t="str">
        <f>IF(D40="","","B")</f>
        <v>B</v>
      </c>
      <c r="I40" s="21" t="s">
        <v>113</v>
      </c>
      <c r="J40" s="17" t="str">
        <f>IF(I40="","",(VLOOKUP(I40,tbDosen[NAMA DOSEN]:tbDosen[[NAMA DOSEN]:[KODE]],2,)))</f>
        <v>HS</v>
      </c>
      <c r="K40" s="39" t="s">
        <v>105</v>
      </c>
      <c r="L40" s="17" t="str">
        <f>IF(K40="","",(VLOOKUP(K40,tbDosen[NAMA DOSEN]:tbDosen[[NAMA DOSEN]:[KODE]],2,)))</f>
        <v>-</v>
      </c>
      <c r="M40" s="16" t="str">
        <f>IF(OR(I40="",I40="None"),"",IF(OR(K40="",K40="None"),I40,I40&amp;" / "&amp;K40))</f>
        <v>Dr. Herry Sujaini, S.T., M.T.</v>
      </c>
      <c r="N40" s="16" t="str">
        <f t="shared" si="2"/>
        <v>HS</v>
      </c>
      <c r="O40" s="18">
        <f>IF(OR(I40="",I40="None"),"",IF(OR(K40="",K40="None"),G40,G40/2))</f>
        <v>4</v>
      </c>
      <c r="P40" s="61" t="str">
        <f>IF(D40="","",(IF(AND(G40=4,U40&lt;2),"ADA",IF(AND(G40&lt;4,U40=0),"ADA","TIDAK"))))</f>
        <v>TIDAK</v>
      </c>
      <c r="Q40" s="203" t="str">
        <f t="shared" si="3"/>
        <v>Dr. Herry Sujaini, S.T., M.T.</v>
      </c>
      <c r="R40" s="203" t="str">
        <f t="shared" si="4"/>
        <v>None</v>
      </c>
      <c r="S40" s="203" t="str">
        <f t="shared" si="5"/>
        <v/>
      </c>
      <c r="T40" s="203" t="str">
        <f t="shared" si="6"/>
        <v/>
      </c>
      <c r="U40" s="161">
        <v>2</v>
      </c>
      <c r="V40" s="164" t="str">
        <f t="shared" si="0"/>
        <v>PAS</v>
      </c>
      <c r="W40" s="11" t="str">
        <f t="shared" si="1"/>
        <v/>
      </c>
      <c r="X40" s="165">
        <v>35</v>
      </c>
      <c r="Y40" s="24"/>
    </row>
    <row r="41" spans="2:25" ht="45" customHeight="1" thickBot="1" x14ac:dyDescent="0.35">
      <c r="B41" s="24"/>
      <c r="C41" s="68" t="str">
        <f>IF(OR(I41="",I41="None"),"-",IF(OR(K41="",K41="None"),E41&amp; " "&amp;"SEM-"&amp;F41&amp;" "&amp;"SKS-"&amp;G41&amp;  " "&amp;H41&amp;" "&amp;J41,E41&amp; " "&amp;"SEM-"&amp;F41&amp;" SKS-"&amp;G41&amp;" "&amp;"S"&amp;H41&amp;  " "&amp;H41&amp;" "&amp;J41&amp;"/"&amp;L41))</f>
        <v>Dasar  Pemrograman* SEM-1 SKS-4 C TZ</v>
      </c>
      <c r="D41" s="14" t="str">
        <f>IF(J$38&gt;='TABLE SISTEM'!A$5,'TABLE MK'!A$7,"")</f>
        <v>INF-55201-103</v>
      </c>
      <c r="E41" s="14" t="str">
        <f>IF(D41="","",(VLOOKUP(D41,Table1[Kode MK]:Table1[[#All],[Kode MK]:[Mata Kuliah Prasyarat]],2,)))</f>
        <v>Dasar  Pemrograman*</v>
      </c>
      <c r="F41" s="15">
        <f>IF(D41="","",(VLOOKUP(D41,Table1[Kode MK]:Table1[[#All],[Kode MK]:[Mata Kuliah Prasyarat]],3,)))</f>
        <v>1</v>
      </c>
      <c r="G41" s="15">
        <f>IF(D41="","",(VLOOKUP(D41,Table1[Kode MK]:Table1[[#All],[Kode MK]:[Mata Kuliah Prasyarat]],4,)))</f>
        <v>4</v>
      </c>
      <c r="H41" s="15" t="str">
        <f>IF(D41="","","C")</f>
        <v>C</v>
      </c>
      <c r="I41" s="21" t="s">
        <v>137</v>
      </c>
      <c r="J41" s="17" t="str">
        <f>IF(I41="","",(VLOOKUP(I41,tbDosen[NAMA DOSEN]:tbDosen[[NAMA DOSEN]:[KODE]],2,)))</f>
        <v>TZ</v>
      </c>
      <c r="K41" s="39" t="s">
        <v>105</v>
      </c>
      <c r="L41" s="17" t="str">
        <f>IF(K41="","",(VLOOKUP(K41,tbDosen[NAMA DOSEN]:tbDosen[[NAMA DOSEN]:[KODE]],2,)))</f>
        <v>-</v>
      </c>
      <c r="M41" s="16" t="str">
        <f>IF(OR(I41="",I41="None"),"",IF(OR(K41="",K41="None"),I41,I41&amp;" / "&amp;K41))</f>
        <v>Morteza Muthahhari, S.Kom., M.T.I</v>
      </c>
      <c r="N41" s="16" t="str">
        <f t="shared" si="2"/>
        <v>TZ</v>
      </c>
      <c r="O41" s="18">
        <f>IF(OR(I41="",I41="None"),"",IF(OR(K41="",K41="None"),G41,G41/2))</f>
        <v>4</v>
      </c>
      <c r="P41" s="61" t="str">
        <f>IF(D41="","",(IF(AND(G41=4,U41&lt;2),"ADA",IF(AND(G41&lt;4,U41=0),"ADA","TIDAK"))))</f>
        <v>TIDAK</v>
      </c>
      <c r="Q41" s="203" t="str">
        <f t="shared" si="3"/>
        <v>Morteza Muthahhari, S.Kom., M.T.I</v>
      </c>
      <c r="R41" s="203" t="str">
        <f t="shared" si="4"/>
        <v>None</v>
      </c>
      <c r="S41" s="203" t="str">
        <f t="shared" si="5"/>
        <v/>
      </c>
      <c r="T41" s="203" t="str">
        <f t="shared" si="6"/>
        <v/>
      </c>
      <c r="U41" s="161">
        <v>2</v>
      </c>
      <c r="V41" s="164" t="str">
        <f t="shared" ref="V41:V72" si="7">IF(G41="","",IF(OR(G41=2,G41=3),IF((U41&lt;1),"KURANG",IF(U41&gt;1,"LEBIH","PAS")),IF(G41=4,IF(U41&lt;2,"KURANG",IF(U41&gt;2,"LEBIH","PAS")))))</f>
        <v>PAS</v>
      </c>
      <c r="W41" s="11" t="str">
        <f t="shared" ref="W41:W72" si="8">IF(P41="ADA",C41,"")</f>
        <v/>
      </c>
      <c r="X41" s="165">
        <v>35</v>
      </c>
      <c r="Y41" s="24"/>
    </row>
    <row r="42" spans="2:25" ht="45" customHeight="1" thickBot="1" x14ac:dyDescent="0.35">
      <c r="B42" s="24"/>
      <c r="C42" s="68" t="str">
        <f>IF(OR(I42="",I42="None"),"-",IF(OR(K42="",K42="None"),E42&amp; " "&amp;"SEM-"&amp;F42&amp;" "&amp;"SKS-"&amp;G42&amp;  " "&amp;H42&amp;" "&amp;J42,E42&amp; " "&amp;"SEM-"&amp;F42&amp;" SKS-"&amp;G42&amp;" "&amp;"S"&amp;H42&amp;  " "&amp;H42&amp;" "&amp;J42&amp;"/"&amp;L42))</f>
        <v>-</v>
      </c>
      <c r="D42" s="14" t="str">
        <f>IF(J$38&gt;='TABLE SISTEM'!A$6,'TABLE MK'!A$7,"")</f>
        <v/>
      </c>
      <c r="E42" s="14" t="str">
        <f>IF(D42="","",(VLOOKUP(D42,Table1[Kode MK]:Table1[[#All],[Kode MK]:[Mata Kuliah Prasyarat]],2,)))</f>
        <v/>
      </c>
      <c r="F42" s="15" t="str">
        <f>IF(D42="","",(VLOOKUP(D42,Table1[Kode MK]:Table1[[#All],[Kode MK]:[Mata Kuliah Prasyarat]],3,)))</f>
        <v/>
      </c>
      <c r="G42" s="15" t="str">
        <f>IF(D42="","",(VLOOKUP(D42,Table1[Kode MK]:Table1[[#All],[Kode MK]:[Mata Kuliah Prasyarat]],4,)))</f>
        <v/>
      </c>
      <c r="H42" s="15" t="str">
        <f>IF(D42="","","D")</f>
        <v/>
      </c>
      <c r="I42" s="21" t="s">
        <v>105</v>
      </c>
      <c r="J42" s="17" t="str">
        <f>IF(I42="","",(VLOOKUP(I42,tbDosen[NAMA DOSEN]:tbDosen[[NAMA DOSEN]:[KODE]],2,)))</f>
        <v>-</v>
      </c>
      <c r="K42" s="39" t="s">
        <v>105</v>
      </c>
      <c r="L42" s="17" t="str">
        <f>IF(K42="","",(VLOOKUP(K42,tbDosen[NAMA DOSEN]:tbDosen[[NAMA DOSEN]:[KODE]],2,)))</f>
        <v>-</v>
      </c>
      <c r="M42" s="16" t="str">
        <f>IF(OR(I42="",I42="None"),"",IF(OR(K42="",K42="None"),I42,I42&amp;" / "&amp;K42))</f>
        <v/>
      </c>
      <c r="N42" s="16" t="str">
        <f t="shared" si="2"/>
        <v/>
      </c>
      <c r="O42" s="18" t="str">
        <f>IF(OR(I42="",I42="None"),"",IF(OR(K42="",K42="None"),G42,G42/2))</f>
        <v/>
      </c>
      <c r="P42" s="61" t="str">
        <f>IF(D42="","",(IF(AND(G42=4,U42&lt;2),"ADA",IF(AND(G42&lt;4,U42=0),"ADA","TIDAK"))))</f>
        <v/>
      </c>
      <c r="Q42" s="203" t="str">
        <f t="shared" si="3"/>
        <v/>
      </c>
      <c r="R42" s="203" t="str">
        <f t="shared" si="4"/>
        <v/>
      </c>
      <c r="S42" s="203" t="str">
        <f t="shared" si="5"/>
        <v/>
      </c>
      <c r="T42" s="203" t="str">
        <f t="shared" si="6"/>
        <v/>
      </c>
      <c r="U42" s="161">
        <v>0</v>
      </c>
      <c r="V42" s="164" t="str">
        <f t="shared" si="7"/>
        <v/>
      </c>
      <c r="W42" s="11" t="str">
        <f t="shared" si="8"/>
        <v/>
      </c>
      <c r="X42" s="165"/>
      <c r="Y42" s="24"/>
    </row>
    <row r="43" spans="2:25" ht="45" customHeight="1" thickBot="1" x14ac:dyDescent="0.35">
      <c r="B43" s="24"/>
      <c r="C43" s="68" t="str">
        <f>IF(OR(I43="",I43="None"),"-",IF(OR(K43="",K43="None"),E43&amp; " "&amp;"SEM-"&amp;F43&amp;" "&amp;"SKS-"&amp;G43&amp;  " "&amp;H43&amp;" "&amp;J43,E43&amp; " "&amp;"SEM-"&amp;F43&amp;" SKS-"&amp;G43&amp;" "&amp;"S"&amp;H43&amp;  " "&amp;H43&amp;" "&amp;J43&amp;"/"&amp;L43))</f>
        <v>-</v>
      </c>
      <c r="D43" s="14" t="str">
        <f>IF(J$38&gt;='TABLE SISTEM'!A$7,'TABLE MK'!A$7,"")</f>
        <v/>
      </c>
      <c r="E43" s="14" t="str">
        <f>IF(D43="","",(VLOOKUP(D43,Table1[Kode MK]:Table1[[#All],[Kode MK]:[Mata Kuliah Prasyarat]],2,)))</f>
        <v/>
      </c>
      <c r="F43" s="15" t="str">
        <f>IF(D43="","",(VLOOKUP(D43,Table1[Kode MK]:Table1[[#All],[Kode MK]:[Mata Kuliah Prasyarat]],3,)))</f>
        <v/>
      </c>
      <c r="G43" s="15" t="str">
        <f>IF(D43="","",(VLOOKUP(D43,Table1[Kode MK]:Table1[[#All],[Kode MK]:[Mata Kuliah Prasyarat]],4,)))</f>
        <v/>
      </c>
      <c r="H43" s="15" t="str">
        <f>IF(D43="","","E")</f>
        <v/>
      </c>
      <c r="I43" s="44" t="s">
        <v>105</v>
      </c>
      <c r="J43" s="17" t="str">
        <f>IF(I43="","",(VLOOKUP(I43,tbDosen[NAMA DOSEN]:tbDosen[[NAMA DOSEN]:[KODE]],2,)))</f>
        <v>-</v>
      </c>
      <c r="K43" s="39" t="s">
        <v>105</v>
      </c>
      <c r="L43" s="17" t="str">
        <f>IF(K43="","",(VLOOKUP(K43,tbDosen[NAMA DOSEN]:tbDosen[[NAMA DOSEN]:[KODE]],2,)))</f>
        <v>-</v>
      </c>
      <c r="M43" s="16" t="str">
        <f>IF(OR(I43="",I43="None"),"",IF(OR(K43="",K43="None"),I43,I43&amp;" / "&amp;K43))</f>
        <v/>
      </c>
      <c r="N43" s="16" t="str">
        <f t="shared" si="2"/>
        <v/>
      </c>
      <c r="O43" s="18" t="str">
        <f>IF(OR(I43="",I43="None"),"",IF(OR(K43="",K43="None"),G43,G43/2))</f>
        <v/>
      </c>
      <c r="P43" s="62" t="str">
        <f>IF(D43="","",(IF(AND(G43=4,U43&lt;2),"ADA",IF(AND(G43&lt;4,U43=0),"ADA","TIDAK"))))</f>
        <v/>
      </c>
      <c r="Q43" s="203" t="str">
        <f t="shared" si="3"/>
        <v/>
      </c>
      <c r="R43" s="203" t="str">
        <f t="shared" si="4"/>
        <v/>
      </c>
      <c r="S43" s="203" t="str">
        <f t="shared" si="5"/>
        <v/>
      </c>
      <c r="T43" s="203" t="str">
        <f t="shared" si="6"/>
        <v/>
      </c>
      <c r="U43" s="161">
        <v>0</v>
      </c>
      <c r="V43" s="164" t="str">
        <f t="shared" si="7"/>
        <v/>
      </c>
      <c r="W43" s="11" t="str">
        <f t="shared" si="8"/>
        <v/>
      </c>
      <c r="X43" s="165"/>
      <c r="Y43" s="24"/>
    </row>
    <row r="44" spans="2:25" ht="45" customHeight="1" thickBot="1" x14ac:dyDescent="0.35">
      <c r="B44" s="24"/>
      <c r="C44" s="67"/>
      <c r="D44" s="41" t="s">
        <v>157</v>
      </c>
      <c r="E44" s="256" t="str">
        <f>'TABLE MK'!B8</f>
        <v>Pengantar Teknik Informatika</v>
      </c>
      <c r="F44" s="256"/>
      <c r="G44" s="256"/>
      <c r="H44" s="256"/>
      <c r="I44" s="41" t="s">
        <v>95</v>
      </c>
      <c r="J44" s="40">
        <v>3</v>
      </c>
      <c r="K44" s="42"/>
      <c r="L44" s="43"/>
      <c r="M44" s="43" t="s">
        <v>161</v>
      </c>
      <c r="N44" s="45"/>
      <c r="O44" s="42"/>
      <c r="P44" s="63"/>
      <c r="Q44" s="203" t="str">
        <f t="shared" si="3"/>
        <v/>
      </c>
      <c r="R44" s="203" t="str">
        <f t="shared" si="4"/>
        <v/>
      </c>
      <c r="S44" s="203" t="str">
        <f t="shared" si="5"/>
        <v>Jumlah Kelas</v>
      </c>
      <c r="T44" s="203">
        <f t="shared" si="6"/>
        <v>0</v>
      </c>
      <c r="U44" s="161">
        <v>0</v>
      </c>
      <c r="V44" s="164" t="str">
        <f t="shared" si="7"/>
        <v/>
      </c>
      <c r="W44" s="11" t="str">
        <f t="shared" si="8"/>
        <v/>
      </c>
      <c r="X44" s="165"/>
      <c r="Y44" s="24"/>
    </row>
    <row r="45" spans="2:25" ht="45" customHeight="1" thickBot="1" x14ac:dyDescent="0.35">
      <c r="B45" s="24"/>
      <c r="C45" s="68" t="str">
        <f>IF(OR(I45="",I45="None"),"-",IF(OR(K45="",K45="None"),E45&amp; " "&amp;"SEM-"&amp;F45&amp;" "&amp;"SKS-"&amp;G45&amp;  " "&amp;H45&amp;" "&amp;J45,E45&amp; " "&amp;"SEM-"&amp;F45&amp;" SKS-"&amp;G45&amp;" "&amp;"S"&amp;H45&amp;  " "&amp;H45&amp;" "&amp;J45&amp;"/"&amp;L45))</f>
        <v>Pengantar Teknik Informatika SEM-1 SKS-2 A HA</v>
      </c>
      <c r="D45" s="14" t="str">
        <f>IF(J$44&gt;='TABLE SISTEM'!A$3,'TABLE MK'!A$8,"")</f>
        <v>INF-55201-104</v>
      </c>
      <c r="E45" s="14" t="str">
        <f>IF(D45="","",(VLOOKUP(D45,Table1[Kode MK]:Table1[[#All],[Kode MK]:[Mata Kuliah Prasyarat]],2,)))</f>
        <v>Pengantar Teknik Informatika</v>
      </c>
      <c r="F45" s="15">
        <f>IF(D45="","",(VLOOKUP(D45,Table1[Kode MK]:Table1[[#All],[Kode MK]:[Mata Kuliah Prasyarat]],3,)))</f>
        <v>1</v>
      </c>
      <c r="G45" s="15">
        <f>IF(D45="","",(VLOOKUP(D45,Table1[Kode MK]:Table1[[#All],[Kode MK]:[Mata Kuliah Prasyarat]],4,)))</f>
        <v>2</v>
      </c>
      <c r="H45" s="15" t="str">
        <f>IF(D45="","","A")</f>
        <v>A</v>
      </c>
      <c r="I45" s="39" t="s">
        <v>123</v>
      </c>
      <c r="J45" s="17" t="str">
        <f>IF(I45="","",(VLOOKUP(I45,tbDosen[NAMA DOSEN]:tbDosen[[NAMA DOSEN]:[KODE]],2,)))</f>
        <v>HA</v>
      </c>
      <c r="K45" s="39" t="s">
        <v>105</v>
      </c>
      <c r="L45" s="17" t="str">
        <f>IF(K45="","",(VLOOKUP(K45,tbDosen[NAMA DOSEN]:tbDosen[[NAMA DOSEN]:[KODE]],2,)))</f>
        <v>-</v>
      </c>
      <c r="M45" s="16" t="str">
        <f>IF(OR(I45="",I45="None"),"",IF(OR(K45="",K45="None"),I45,I45&amp;" / "&amp;K45))</f>
        <v>H. Hengky Anra, S.T., M.Kom</v>
      </c>
      <c r="N45" s="16" t="str">
        <f t="shared" si="2"/>
        <v>HA</v>
      </c>
      <c r="O45" s="18">
        <f>IF(OR(I45="",I45="None"),"",IF(OR(K45="",K45="None"),G45,G45/2))</f>
        <v>2</v>
      </c>
      <c r="P45" s="60" t="str">
        <f>IF(D45="","",(IF(AND(G45=4,U45&lt;2),"ADA",IF(AND(G45&lt;4,U45=0),"ADA","TIDAK"))))</f>
        <v>TIDAK</v>
      </c>
      <c r="Q45" s="203" t="str">
        <f t="shared" si="3"/>
        <v/>
      </c>
      <c r="R45" s="203" t="str">
        <f t="shared" si="4"/>
        <v/>
      </c>
      <c r="S45" s="203" t="str">
        <f t="shared" si="5"/>
        <v/>
      </c>
      <c r="T45" s="203" t="str">
        <f t="shared" si="6"/>
        <v/>
      </c>
      <c r="U45" s="161">
        <v>1</v>
      </c>
      <c r="V45" s="164" t="str">
        <f t="shared" si="7"/>
        <v>PAS</v>
      </c>
      <c r="W45" s="11" t="str">
        <f t="shared" si="8"/>
        <v/>
      </c>
      <c r="X45" s="165">
        <v>35</v>
      </c>
      <c r="Y45" s="24"/>
    </row>
    <row r="46" spans="2:25" ht="45" customHeight="1" thickBot="1" x14ac:dyDescent="0.35">
      <c r="B46" s="24"/>
      <c r="C46" s="68" t="str">
        <f>IF(OR(I46="",I46="None"),"-",IF(OR(K46="",K46="None"),E46&amp; " "&amp;"SEM-"&amp;F46&amp;" "&amp;"SKS-"&amp;G46&amp;  " "&amp;H46&amp;" "&amp;J46,E46&amp; " "&amp;"SEM-"&amp;F46&amp;" SKS-"&amp;G46&amp;" "&amp;"S"&amp;H46&amp;  " "&amp;H46&amp;" "&amp;J46&amp;"/"&amp;L46))</f>
        <v>Pengantar Teknik Informatika SEM-1 SKS-2 B HA</v>
      </c>
      <c r="D46" s="14" t="str">
        <f>IF(J$44&gt;='TABLE SISTEM'!A$4,'TABLE MK'!A$8,"")</f>
        <v>INF-55201-104</v>
      </c>
      <c r="E46" s="14" t="str">
        <f>IF(D46="","",(VLOOKUP(D46,Table1[Kode MK]:Table1[[#All],[Kode MK]:[Mata Kuliah Prasyarat]],2,)))</f>
        <v>Pengantar Teknik Informatika</v>
      </c>
      <c r="F46" s="15">
        <f>IF(D46="","",(VLOOKUP(D46,Table1[Kode MK]:Table1[[#All],[Kode MK]:[Mata Kuliah Prasyarat]],3,)))</f>
        <v>1</v>
      </c>
      <c r="G46" s="15">
        <f>IF(D46="","",(VLOOKUP(D46,Table1[Kode MK]:Table1[[#All],[Kode MK]:[Mata Kuliah Prasyarat]],4,)))</f>
        <v>2</v>
      </c>
      <c r="H46" s="15" t="str">
        <f>IF(D46="","","B")</f>
        <v>B</v>
      </c>
      <c r="I46" s="21" t="s">
        <v>123</v>
      </c>
      <c r="J46" s="17" t="str">
        <f>IF(I46="","",(VLOOKUP(I46,tbDosen[NAMA DOSEN]:tbDosen[[NAMA DOSEN]:[KODE]],2,)))</f>
        <v>HA</v>
      </c>
      <c r="K46" s="39" t="s">
        <v>105</v>
      </c>
      <c r="L46" s="17" t="str">
        <f>IF(K46="","",(VLOOKUP(K46,tbDosen[NAMA DOSEN]:tbDosen[[NAMA DOSEN]:[KODE]],2,)))</f>
        <v>-</v>
      </c>
      <c r="M46" s="16" t="str">
        <f>IF(OR(I46="",I46="None"),"",IF(OR(K46="",K46="None"),I46,I46&amp;" / "&amp;K46))</f>
        <v>H. Hengky Anra, S.T., M.Kom</v>
      </c>
      <c r="N46" s="16" t="str">
        <f t="shared" si="2"/>
        <v>HA</v>
      </c>
      <c r="O46" s="18">
        <f>IF(OR(I46="",I46="None"),"",IF(OR(K46="",K46="None"),G46,G46/2))</f>
        <v>2</v>
      </c>
      <c r="P46" s="61" t="str">
        <f>IF(D46="","",(IF(AND(G46=4,U46&lt;2),"ADA",IF(AND(G46&lt;4,U46=0),"ADA","TIDAK"))))</f>
        <v>TIDAK</v>
      </c>
      <c r="Q46" s="203" t="str">
        <f t="shared" si="3"/>
        <v/>
      </c>
      <c r="R46" s="203" t="str">
        <f t="shared" si="4"/>
        <v/>
      </c>
      <c r="S46" s="203" t="str">
        <f t="shared" si="5"/>
        <v/>
      </c>
      <c r="T46" s="203" t="str">
        <f t="shared" si="6"/>
        <v/>
      </c>
      <c r="U46" s="161">
        <v>1</v>
      </c>
      <c r="V46" s="164" t="str">
        <f t="shared" si="7"/>
        <v>PAS</v>
      </c>
      <c r="W46" s="11" t="str">
        <f t="shared" si="8"/>
        <v/>
      </c>
      <c r="X46" s="165">
        <v>35</v>
      </c>
      <c r="Y46" s="24"/>
    </row>
    <row r="47" spans="2:25" ht="45" customHeight="1" thickBot="1" x14ac:dyDescent="0.35">
      <c r="B47" s="24"/>
      <c r="C47" s="68" t="str">
        <f>IF(OR(I47="",I47="None"),"-",IF(OR(K47="",K47="None"),E47&amp; " "&amp;"SEM-"&amp;F47&amp;" "&amp;"SKS-"&amp;G47&amp;  " "&amp;H47&amp;" "&amp;J47,E47&amp; " "&amp;"SEM-"&amp;F47&amp;" SKS-"&amp;G47&amp;" "&amp;"S"&amp;H47&amp;  " "&amp;H47&amp;" "&amp;J47&amp;"/"&amp;L47))</f>
        <v>Pengantar Teknik Informatika SEM-1 SKS-2 C HA</v>
      </c>
      <c r="D47" s="14" t="str">
        <f>IF(J$44&gt;='TABLE SISTEM'!A$5,'TABLE MK'!A$8,"")</f>
        <v>INF-55201-104</v>
      </c>
      <c r="E47" s="14" t="str">
        <f>IF(D47="","",(VLOOKUP(D47,Table1[Kode MK]:Table1[[#All],[Kode MK]:[Mata Kuliah Prasyarat]],2,)))</f>
        <v>Pengantar Teknik Informatika</v>
      </c>
      <c r="F47" s="15">
        <f>IF(D47="","",(VLOOKUP(D47,Table1[Kode MK]:Table1[[#All],[Kode MK]:[Mata Kuliah Prasyarat]],3,)))</f>
        <v>1</v>
      </c>
      <c r="G47" s="15">
        <f>IF(D47="","",(VLOOKUP(D47,Table1[Kode MK]:Table1[[#All],[Kode MK]:[Mata Kuliah Prasyarat]],4,)))</f>
        <v>2</v>
      </c>
      <c r="H47" s="15" t="str">
        <f>IF(D47="","","C")</f>
        <v>C</v>
      </c>
      <c r="I47" s="21" t="s">
        <v>123</v>
      </c>
      <c r="J47" s="17" t="str">
        <f>IF(I47="","",(VLOOKUP(I47,tbDosen[NAMA DOSEN]:tbDosen[[NAMA DOSEN]:[KODE]],2,)))</f>
        <v>HA</v>
      </c>
      <c r="K47" s="39" t="s">
        <v>105</v>
      </c>
      <c r="L47" s="17" t="str">
        <f>IF(K47="","",(VLOOKUP(K47,tbDosen[NAMA DOSEN]:tbDosen[[NAMA DOSEN]:[KODE]],2,)))</f>
        <v>-</v>
      </c>
      <c r="M47" s="16" t="str">
        <f>IF(OR(I47="",I47="None"),"",IF(OR(K47="",K47="None"),I47,I47&amp;" / "&amp;K47))</f>
        <v>H. Hengky Anra, S.T., M.Kom</v>
      </c>
      <c r="N47" s="16" t="str">
        <f t="shared" si="2"/>
        <v>HA</v>
      </c>
      <c r="O47" s="18">
        <f>IF(OR(I47="",I47="None"),"",IF(OR(K47="",K47="None"),G47,G47/2))</f>
        <v>2</v>
      </c>
      <c r="P47" s="61" t="str">
        <f>IF(D47="","",(IF(AND(G47=4,U47&lt;2),"ADA",IF(AND(G47&lt;4,U47=0),"ADA","TIDAK"))))</f>
        <v>TIDAK</v>
      </c>
      <c r="Q47" s="203" t="str">
        <f t="shared" si="3"/>
        <v/>
      </c>
      <c r="R47" s="203" t="str">
        <f t="shared" si="4"/>
        <v/>
      </c>
      <c r="S47" s="203" t="str">
        <f t="shared" si="5"/>
        <v/>
      </c>
      <c r="T47" s="203" t="str">
        <f t="shared" si="6"/>
        <v/>
      </c>
      <c r="U47" s="161">
        <v>1</v>
      </c>
      <c r="V47" s="164" t="str">
        <f t="shared" si="7"/>
        <v>PAS</v>
      </c>
      <c r="W47" s="11" t="str">
        <f t="shared" si="8"/>
        <v/>
      </c>
      <c r="X47" s="165">
        <v>35</v>
      </c>
      <c r="Y47" s="24"/>
    </row>
    <row r="48" spans="2:25" ht="45" customHeight="1" thickBot="1" x14ac:dyDescent="0.35">
      <c r="B48" s="24"/>
      <c r="C48" s="68" t="str">
        <f>IF(OR(I48="",I48="None"),"-",IF(OR(K48="",K48="None"),E48&amp; " "&amp;"SEM-"&amp;F48&amp;" "&amp;"SKS-"&amp;G48&amp;  " "&amp;H48&amp;" "&amp;J48,E48&amp; " "&amp;"SEM-"&amp;F48&amp;" SKS-"&amp;G48&amp;" "&amp;"S"&amp;H48&amp;  " "&amp;H48&amp;" "&amp;J48&amp;"/"&amp;L48))</f>
        <v>-</v>
      </c>
      <c r="D48" s="14" t="str">
        <f>IF(J$44&gt;='TABLE SISTEM'!A$6,'TABLE MK'!A$8,"")</f>
        <v/>
      </c>
      <c r="E48" s="14" t="str">
        <f>IF(D48="","",(VLOOKUP(D48,Table1[Kode MK]:Table1[[#All],[Kode MK]:[Mata Kuliah Prasyarat]],2,)))</f>
        <v/>
      </c>
      <c r="F48" s="15" t="str">
        <f>IF(D48="","",(VLOOKUP(D48,Table1[Kode MK]:Table1[[#All],[Kode MK]:[Mata Kuliah Prasyarat]],3,)))</f>
        <v/>
      </c>
      <c r="G48" s="15" t="str">
        <f>IF(D48="","",(VLOOKUP(D48,Table1[Kode MK]:Table1[[#All],[Kode MK]:[Mata Kuliah Prasyarat]],4,)))</f>
        <v/>
      </c>
      <c r="H48" s="15" t="str">
        <f>IF(D48="","","D")</f>
        <v/>
      </c>
      <c r="I48" s="21" t="s">
        <v>105</v>
      </c>
      <c r="J48" s="17" t="str">
        <f>IF(I48="","",(VLOOKUP(I48,tbDosen[NAMA DOSEN]:tbDosen[[NAMA DOSEN]:[KODE]],2,)))</f>
        <v>-</v>
      </c>
      <c r="K48" s="39" t="s">
        <v>105</v>
      </c>
      <c r="L48" s="17" t="str">
        <f>IF(K48="","",(VLOOKUP(K48,tbDosen[NAMA DOSEN]:tbDosen[[NAMA DOSEN]:[KODE]],2,)))</f>
        <v>-</v>
      </c>
      <c r="M48" s="16" t="str">
        <f>IF(OR(I48="",I48="None"),"",IF(OR(K48="",K48="None"),I48,I48&amp;" / "&amp;K48))</f>
        <v/>
      </c>
      <c r="N48" s="16" t="str">
        <f t="shared" si="2"/>
        <v/>
      </c>
      <c r="O48" s="18" t="str">
        <f>IF(OR(I48="",I48="None"),"",IF(OR(K48="",K48="None"),G48,G48/2))</f>
        <v/>
      </c>
      <c r="P48" s="61" t="str">
        <f>IF(D48="","",(IF(AND(G48=4,U48&lt;2),"ADA",IF(AND(G48&lt;4,U48=0),"ADA","TIDAK"))))</f>
        <v/>
      </c>
      <c r="Q48" s="203" t="str">
        <f t="shared" si="3"/>
        <v/>
      </c>
      <c r="R48" s="203" t="str">
        <f t="shared" si="4"/>
        <v/>
      </c>
      <c r="S48" s="203" t="str">
        <f t="shared" si="5"/>
        <v/>
      </c>
      <c r="T48" s="203" t="str">
        <f t="shared" si="6"/>
        <v/>
      </c>
      <c r="U48" s="161">
        <v>0</v>
      </c>
      <c r="V48" s="164" t="str">
        <f t="shared" si="7"/>
        <v/>
      </c>
      <c r="W48" s="11" t="str">
        <f t="shared" si="8"/>
        <v/>
      </c>
      <c r="X48" s="165"/>
      <c r="Y48" s="24"/>
    </row>
    <row r="49" spans="2:25" ht="45" customHeight="1" thickBot="1" x14ac:dyDescent="0.35">
      <c r="B49" s="24"/>
      <c r="C49" s="68" t="str">
        <f>IF(OR(I49="",I49="None"),"-",IF(OR(K49="",K49="None"),E49&amp; " "&amp;"SEM-"&amp;F49&amp;" "&amp;"SKS-"&amp;G49&amp;  " "&amp;H49&amp;" "&amp;J49,E49&amp; " "&amp;"SEM-"&amp;F49&amp;" SKS-"&amp;G49&amp;" "&amp;"S"&amp;H49&amp;  " "&amp;H49&amp;" "&amp;J49&amp;"/"&amp;L49))</f>
        <v>-</v>
      </c>
      <c r="D49" s="14" t="str">
        <f>IF(J$44&gt;='TABLE SISTEM'!A$7,'TABLE MK'!A$8,"")</f>
        <v/>
      </c>
      <c r="E49" s="14" t="str">
        <f>IF(D49="","",(VLOOKUP(D49,Table1[Kode MK]:Table1[[#All],[Kode MK]:[Mata Kuliah Prasyarat]],2,)))</f>
        <v/>
      </c>
      <c r="F49" s="15" t="str">
        <f>IF(D49="","",(VLOOKUP(D49,Table1[Kode MK]:Table1[[#All],[Kode MK]:[Mata Kuliah Prasyarat]],3,)))</f>
        <v/>
      </c>
      <c r="G49" s="15" t="str">
        <f>IF(D49="","",(VLOOKUP(D49,Table1[Kode MK]:Table1[[#All],[Kode MK]:[Mata Kuliah Prasyarat]],4,)))</f>
        <v/>
      </c>
      <c r="H49" s="15" t="str">
        <f>IF(D49="","","E")</f>
        <v/>
      </c>
      <c r="I49" s="44" t="s">
        <v>105</v>
      </c>
      <c r="J49" s="17" t="str">
        <f>IF(I49="","",(VLOOKUP(I49,tbDosen[NAMA DOSEN]:tbDosen[[NAMA DOSEN]:[KODE]],2,)))</f>
        <v>-</v>
      </c>
      <c r="K49" s="39" t="s">
        <v>105</v>
      </c>
      <c r="L49" s="17" t="str">
        <f>IF(K49="","",(VLOOKUP(K49,tbDosen[NAMA DOSEN]:tbDosen[[NAMA DOSEN]:[KODE]],2,)))</f>
        <v>-</v>
      </c>
      <c r="M49" s="16" t="str">
        <f>IF(OR(I49="",I49="None"),"",IF(OR(K49="",K49="None"),I49,I49&amp;" / "&amp;K49))</f>
        <v/>
      </c>
      <c r="N49" s="16" t="str">
        <f t="shared" si="2"/>
        <v/>
      </c>
      <c r="O49" s="18" t="str">
        <f>IF(OR(I49="",I49="None"),"",IF(OR(K49="",K49="None"),G49,G49/2))</f>
        <v/>
      </c>
      <c r="P49" s="62" t="str">
        <f>IF(D49="","",(IF(AND(G49=4,U49&lt;2),"ADA",IF(AND(G49&lt;4,U49=0),"ADA","TIDAK"))))</f>
        <v/>
      </c>
      <c r="Q49" s="203" t="str">
        <f t="shared" si="3"/>
        <v/>
      </c>
      <c r="R49" s="203" t="str">
        <f t="shared" si="4"/>
        <v/>
      </c>
      <c r="S49" s="203" t="str">
        <f t="shared" si="5"/>
        <v/>
      </c>
      <c r="T49" s="203" t="str">
        <f t="shared" si="6"/>
        <v/>
      </c>
      <c r="U49" s="161">
        <v>0</v>
      </c>
      <c r="V49" s="164" t="str">
        <f t="shared" si="7"/>
        <v/>
      </c>
      <c r="W49" s="11" t="str">
        <f t="shared" si="8"/>
        <v/>
      </c>
      <c r="X49" s="165"/>
      <c r="Y49" s="24"/>
    </row>
    <row r="50" spans="2:25" ht="45" customHeight="1" thickBot="1" x14ac:dyDescent="0.35">
      <c r="B50" s="24"/>
      <c r="C50" s="67"/>
      <c r="D50" s="41" t="s">
        <v>157</v>
      </c>
      <c r="E50" s="256" t="str">
        <f>'TABLE MK'!B9</f>
        <v>Perancangan Basis Data</v>
      </c>
      <c r="F50" s="256"/>
      <c r="G50" s="256"/>
      <c r="H50" s="256"/>
      <c r="I50" s="41" t="s">
        <v>95</v>
      </c>
      <c r="J50" s="40">
        <v>3</v>
      </c>
      <c r="K50" s="42"/>
      <c r="L50" s="43"/>
      <c r="M50" s="43" t="s">
        <v>161</v>
      </c>
      <c r="N50" s="45"/>
      <c r="O50" s="42"/>
      <c r="P50" s="63"/>
      <c r="Q50" s="203" t="str">
        <f t="shared" si="3"/>
        <v/>
      </c>
      <c r="R50" s="203" t="str">
        <f t="shared" si="4"/>
        <v/>
      </c>
      <c r="S50" s="203" t="str">
        <f t="shared" si="5"/>
        <v>Jumlah Kelas</v>
      </c>
      <c r="T50" s="203">
        <f t="shared" si="6"/>
        <v>0</v>
      </c>
      <c r="U50" s="161">
        <v>0</v>
      </c>
      <c r="V50" s="164" t="str">
        <f t="shared" si="7"/>
        <v/>
      </c>
      <c r="W50" s="11" t="str">
        <f t="shared" si="8"/>
        <v/>
      </c>
      <c r="X50" s="165"/>
      <c r="Y50" s="24"/>
    </row>
    <row r="51" spans="2:25" ht="87.6" thickBot="1" x14ac:dyDescent="0.35">
      <c r="B51" s="24"/>
      <c r="C51" s="68" t="str">
        <f>IF(OR(I51="",I51="None"),"-",IF(OR(K51="-",K51="None"),E51&amp; " "&amp;"SEM-"&amp;F51&amp;" "&amp;"SKS-"&amp;G51&amp;  " "&amp;H51&amp;" "&amp;J51,E51&amp; " "&amp;"SEM-"&amp;F51&amp;" SKS-"&amp;G51&amp;" "&amp;"S"&amp;H51&amp;  " "&amp;H51&amp;" "&amp;J51&amp;"/"&amp;L51))</f>
        <v>Perancangan Basis Data SEM-3 SKS-2 SA A YL/DIU</v>
      </c>
      <c r="D51" s="14" t="str">
        <f>IF(J$50&gt;='TABLE SISTEM'!A$3,'TABLE MK'!A$9,"")</f>
        <v>INF-55201-201</v>
      </c>
      <c r="E51" s="14" t="str">
        <f>IF(D51="","",(VLOOKUP(D51,Table1[Kode MK]:Table1[[#All],[Kode MK]:[Mata Kuliah Prasyarat]],2,)))</f>
        <v>Perancangan Basis Data</v>
      </c>
      <c r="F51" s="15">
        <f>IF(D51="","",(VLOOKUP(D51,Table1[Kode MK]:Table1[[#All],[Kode MK]:[Mata Kuliah Prasyarat]],3,)))</f>
        <v>3</v>
      </c>
      <c r="G51" s="15">
        <f>IF(D51="","",(VLOOKUP(D51,Table1[Kode MK]:Table1[[#All],[Kode MK]:[Mata Kuliah Prasyarat]],4,)))</f>
        <v>2</v>
      </c>
      <c r="H51" s="15" t="str">
        <f>IF(D51="","","A")</f>
        <v>A</v>
      </c>
      <c r="I51" s="39" t="s">
        <v>145</v>
      </c>
      <c r="J51" s="17" t="str">
        <f>IF(I51="","",(VLOOKUP(I51,tbDosen[NAMA DOSEN]:tbDosen[[NAMA DOSEN]:[KODE]],2,)))</f>
        <v>YL</v>
      </c>
      <c r="K51" s="39" t="s">
        <v>335</v>
      </c>
      <c r="L51" s="17" t="str">
        <f>IF(K51="","",(VLOOKUP(K51,tbDosen[NAMA DOSEN]:tbDosen[[NAMA DOSEN]:[KODE]],2,)))</f>
        <v>DIU</v>
      </c>
      <c r="M51" s="16" t="str">
        <f>IF(OR(I51="",I51="None"),"",IF(OR(K51="",K51="None"),I51,I51&amp;" / "&amp;K51))</f>
        <v>Yulianti,S.Kom, MMSI / Desepta Isna Ulumi, S.Kom, M.Kom.</v>
      </c>
      <c r="N51" s="16" t="str">
        <f t="shared" si="2"/>
        <v>YL / DIU</v>
      </c>
      <c r="O51" s="18">
        <f>IF(OR(I51="",I51="None"),"",IF(OR(K51="",K51="None"),G51,G51/2))</f>
        <v>1</v>
      </c>
      <c r="P51" s="60" t="str">
        <f>IF(D51="","",(IF(AND(G51=4,U51&lt;2),"ADA",IF(AND(G51&lt;4,U51=0),"ADA","TIDAK"))))</f>
        <v>TIDAK</v>
      </c>
      <c r="Q51" s="203" t="str">
        <f t="shared" si="3"/>
        <v/>
      </c>
      <c r="R51" s="203" t="str">
        <f t="shared" si="4"/>
        <v/>
      </c>
      <c r="S51" s="203" t="str">
        <f t="shared" si="5"/>
        <v>Yulianti,S.Kom, MMSI</v>
      </c>
      <c r="T51" s="203" t="str">
        <f t="shared" si="6"/>
        <v>Desepta Isna Ulumi, S.Kom, M.Kom.</v>
      </c>
      <c r="U51" s="161">
        <v>1</v>
      </c>
      <c r="V51" s="164" t="str">
        <f t="shared" si="7"/>
        <v>PAS</v>
      </c>
      <c r="W51" s="11" t="str">
        <f t="shared" si="8"/>
        <v/>
      </c>
      <c r="X51" s="165">
        <v>20</v>
      </c>
      <c r="Y51" s="24"/>
    </row>
    <row r="52" spans="2:25" ht="45" customHeight="1" thickBot="1" x14ac:dyDescent="0.35">
      <c r="B52" s="24"/>
      <c r="C52" s="68" t="str">
        <f>IF(OR(I52="",I52="None"),"-",IF(OR(K52="-",K52="None"),E52&amp; " "&amp;"SEM-"&amp;F52&amp;" "&amp;"SKS-"&amp;G52&amp;  " "&amp;H52&amp;" "&amp;J52,E52&amp; " "&amp;"SEM-"&amp;F52&amp;" SKS-"&amp;G52&amp;" "&amp;"S"&amp;H52&amp;  " "&amp;H52&amp;" "&amp;J52&amp;"/"&amp;L52))</f>
        <v>Perancangan Basis Data SEM-3 SKS-2 B HN</v>
      </c>
      <c r="D52" s="14" t="str">
        <f>IF(J$50&gt;='TABLE SISTEM'!A$4,'TABLE MK'!A$9,"")</f>
        <v>INF-55201-201</v>
      </c>
      <c r="E52" s="14" t="str">
        <f>IF(D52="","",(VLOOKUP(D52,Table1[Kode MK]:Table1[[#All],[Kode MK]:[Mata Kuliah Prasyarat]],2,)))</f>
        <v>Perancangan Basis Data</v>
      </c>
      <c r="F52" s="15">
        <f>IF(D52="","",(VLOOKUP(D52,Table1[Kode MK]:Table1[[#All],[Kode MK]:[Mata Kuliah Prasyarat]],3,)))</f>
        <v>3</v>
      </c>
      <c r="G52" s="15">
        <f>IF(D52="","",(VLOOKUP(D52,Table1[Kode MK]:Table1[[#All],[Kode MK]:[Mata Kuliah Prasyarat]],4,)))</f>
        <v>2</v>
      </c>
      <c r="H52" s="15" t="str">
        <f>IF(D52="","","B")</f>
        <v>B</v>
      </c>
      <c r="I52" s="21" t="s">
        <v>396</v>
      </c>
      <c r="J52" s="17" t="str">
        <f>IF(I52="","",(VLOOKUP(I52,tbDosen[NAMA DOSEN]:tbDosen[[NAMA DOSEN]:[KODE]],2,)))</f>
        <v>HN</v>
      </c>
      <c r="K52" s="39" t="s">
        <v>105</v>
      </c>
      <c r="L52" s="17" t="str">
        <f>IF(K52="","",(VLOOKUP(K52,tbDosen[NAMA DOSEN]:tbDosen[[NAMA DOSEN]:[KODE]],2,)))</f>
        <v>-</v>
      </c>
      <c r="M52" s="16" t="str">
        <f>IF(OR(I52="",I52="None"),"",IF(OR(K52="",K52="None"),I52,I52&amp;" / "&amp;K52))</f>
        <v>Haried Novriando, S.Kom, M.Eng</v>
      </c>
      <c r="N52" s="16" t="str">
        <f t="shared" si="2"/>
        <v>HN</v>
      </c>
      <c r="O52" s="18">
        <f>IF(OR(I52="",I52="None"),"",IF(OR(K52="",K52="None"),G52,G52/2))</f>
        <v>2</v>
      </c>
      <c r="P52" s="61" t="str">
        <f>IF(D52="","",(IF(AND(G52=4,U52&lt;2),"ADA",IF(AND(G52&lt;4,U52=0),"ADA","TIDAK"))))</f>
        <v>TIDAK</v>
      </c>
      <c r="Q52" s="203" t="str">
        <f t="shared" si="3"/>
        <v/>
      </c>
      <c r="R52" s="203" t="str">
        <f t="shared" si="4"/>
        <v/>
      </c>
      <c r="S52" s="203" t="str">
        <f t="shared" si="5"/>
        <v/>
      </c>
      <c r="T52" s="203" t="str">
        <f t="shared" si="6"/>
        <v/>
      </c>
      <c r="U52" s="161">
        <v>1</v>
      </c>
      <c r="V52" s="164" t="str">
        <f t="shared" si="7"/>
        <v>PAS</v>
      </c>
      <c r="W52" s="11" t="str">
        <f t="shared" si="8"/>
        <v/>
      </c>
      <c r="X52" s="165">
        <v>20</v>
      </c>
      <c r="Y52" s="24"/>
    </row>
    <row r="53" spans="2:25" ht="45" customHeight="1" thickBot="1" x14ac:dyDescent="0.35">
      <c r="B53" s="24"/>
      <c r="C53" s="68" t="str">
        <f>IF(OR(I53="",I53="None"),"-",IF(OR(K53="-",K53="None"),E53&amp; " "&amp;"SEM-"&amp;F53&amp;" "&amp;"SKS-"&amp;G53&amp;  " "&amp;H53&amp;" "&amp;J53,E53&amp; " "&amp;"SEM-"&amp;F53&amp;" SKS-"&amp;G53&amp;" "&amp;"S"&amp;H53&amp;  " "&amp;H53&amp;" "&amp;J53&amp;"/"&amp;L53))</f>
        <v>Perancangan Basis Data SEM-3 SKS-2 SC C YL/DIU</v>
      </c>
      <c r="D53" s="14" t="str">
        <f>IF(J$50&gt;='TABLE SISTEM'!A$5,'TABLE MK'!A$9,"")</f>
        <v>INF-55201-201</v>
      </c>
      <c r="E53" s="14" t="str">
        <f>IF(D53="","",(VLOOKUP(D53,Table1[Kode MK]:Table1[[#All],[Kode MK]:[Mata Kuliah Prasyarat]],2,)))</f>
        <v>Perancangan Basis Data</v>
      </c>
      <c r="F53" s="15">
        <f>IF(D53="","",(VLOOKUP(D53,Table1[Kode MK]:Table1[[#All],[Kode MK]:[Mata Kuliah Prasyarat]],3,)))</f>
        <v>3</v>
      </c>
      <c r="G53" s="15">
        <f>IF(D53="","",(VLOOKUP(D53,Table1[Kode MK]:Table1[[#All],[Kode MK]:[Mata Kuliah Prasyarat]],4,)))</f>
        <v>2</v>
      </c>
      <c r="H53" s="15" t="str">
        <f>IF(D53="","","C")</f>
        <v>C</v>
      </c>
      <c r="I53" s="21" t="s">
        <v>145</v>
      </c>
      <c r="J53" s="17" t="str">
        <f>IF(I53="","",(VLOOKUP(I53,tbDosen[NAMA DOSEN]:tbDosen[[NAMA DOSEN]:[KODE]],2,)))</f>
        <v>YL</v>
      </c>
      <c r="K53" s="39" t="s">
        <v>335</v>
      </c>
      <c r="L53" s="17" t="str">
        <f>IF(K53="","",(VLOOKUP(K53,tbDosen[NAMA DOSEN]:tbDosen[[NAMA DOSEN]:[KODE]],2,)))</f>
        <v>DIU</v>
      </c>
      <c r="M53" s="16" t="str">
        <f>IF(OR(I53="",I53="None"),"",IF(OR(K53="",K53="None"),I53,I53&amp;" / "&amp;K53))</f>
        <v>Yulianti,S.Kom, MMSI / Desepta Isna Ulumi, S.Kom, M.Kom.</v>
      </c>
      <c r="N53" s="16" t="str">
        <f t="shared" si="2"/>
        <v>YL / DIU</v>
      </c>
      <c r="O53" s="18">
        <f>IF(OR(I53="",I53="None"),"",IF(OR(K53="",K53="None"),G53,G53/2))</f>
        <v>1</v>
      </c>
      <c r="P53" s="61" t="str">
        <f>IF(D53="","",(IF(AND(G53=4,U53&lt;2),"ADA",IF(AND(G53&lt;4,U53=0),"ADA","TIDAK"))))</f>
        <v>TIDAK</v>
      </c>
      <c r="Q53" s="203" t="str">
        <f t="shared" si="3"/>
        <v/>
      </c>
      <c r="R53" s="203" t="str">
        <f t="shared" si="4"/>
        <v/>
      </c>
      <c r="S53" s="203" t="str">
        <f t="shared" si="5"/>
        <v>Yulianti,S.Kom, MMSI</v>
      </c>
      <c r="T53" s="203" t="str">
        <f t="shared" si="6"/>
        <v>Desepta Isna Ulumi, S.Kom, M.Kom.</v>
      </c>
      <c r="U53" s="161">
        <v>1</v>
      </c>
      <c r="V53" s="164" t="str">
        <f t="shared" si="7"/>
        <v>PAS</v>
      </c>
      <c r="W53" s="11" t="str">
        <f t="shared" si="8"/>
        <v/>
      </c>
      <c r="X53" s="165">
        <v>20</v>
      </c>
      <c r="Y53" s="24"/>
    </row>
    <row r="54" spans="2:25" ht="45" customHeight="1" thickBot="1" x14ac:dyDescent="0.35">
      <c r="B54" s="24"/>
      <c r="C54" s="68" t="str">
        <f>IF(OR(I54="",I54="None"),"-",IF(OR(K54="-",K54="None"),E54&amp; " "&amp;"SEM-"&amp;F54&amp;" "&amp;"SKS-"&amp;G54&amp;  " "&amp;H54&amp;" "&amp;J54,E54&amp; " "&amp;"SEM-"&amp;F54&amp;" SKS-"&amp;G54&amp;" "&amp;"S"&amp;H54&amp;  " "&amp;H54&amp;" "&amp;J54&amp;"/"&amp;L54))</f>
        <v>-</v>
      </c>
      <c r="D54" s="14" t="str">
        <f>IF(J$50&gt;='TABLE SISTEM'!A$6,'TABLE MK'!A$9,"")</f>
        <v/>
      </c>
      <c r="E54" s="14" t="str">
        <f>IF(D54="","",(VLOOKUP(D54,Table1[Kode MK]:Table1[[#All],[Kode MK]:[Mata Kuliah Prasyarat]],2,)))</f>
        <v/>
      </c>
      <c r="F54" s="15" t="str">
        <f>IF(D54="","",(VLOOKUP(D54,Table1[Kode MK]:Table1[[#All],[Kode MK]:[Mata Kuliah Prasyarat]],3,)))</f>
        <v/>
      </c>
      <c r="G54" s="15" t="str">
        <f>IF(D54="","",(VLOOKUP(D54,Table1[Kode MK]:Table1[[#All],[Kode MK]:[Mata Kuliah Prasyarat]],4,)))</f>
        <v/>
      </c>
      <c r="H54" s="15" t="str">
        <f>IF(D54="","","D")</f>
        <v/>
      </c>
      <c r="I54" s="21" t="s">
        <v>105</v>
      </c>
      <c r="J54" s="17" t="str">
        <f>IF(I54="","",(VLOOKUP(I54,tbDosen[NAMA DOSEN]:tbDosen[[NAMA DOSEN]:[KODE]],2,)))</f>
        <v>-</v>
      </c>
      <c r="K54" s="39" t="s">
        <v>105</v>
      </c>
      <c r="L54" s="17" t="str">
        <f>IF(K54="","",(VLOOKUP(K54,tbDosen[NAMA DOSEN]:tbDosen[[NAMA DOSEN]:[KODE]],2,)))</f>
        <v>-</v>
      </c>
      <c r="M54" s="16" t="str">
        <f>IF(OR(I54="",I54="None"),"",IF(OR(K54="",K54="None"),I54,I54&amp;" / "&amp;K54))</f>
        <v/>
      </c>
      <c r="N54" s="16" t="str">
        <f t="shared" si="2"/>
        <v/>
      </c>
      <c r="O54" s="18" t="str">
        <f>IF(OR(I54="",I54="None"),"",IF(OR(K54="",K54="None"),G54,G54/2))</f>
        <v/>
      </c>
      <c r="P54" s="61" t="str">
        <f>IF(D54="","",(IF(AND(G54=4,U54&lt;2),"ADA",IF(AND(G54&lt;4,U54=0),"ADA","TIDAK"))))</f>
        <v/>
      </c>
      <c r="Q54" s="203" t="str">
        <f t="shared" si="3"/>
        <v/>
      </c>
      <c r="R54" s="203" t="str">
        <f t="shared" si="4"/>
        <v/>
      </c>
      <c r="S54" s="203" t="str">
        <f t="shared" si="5"/>
        <v/>
      </c>
      <c r="T54" s="203" t="str">
        <f t="shared" si="6"/>
        <v/>
      </c>
      <c r="U54" s="161">
        <v>0</v>
      </c>
      <c r="V54" s="164" t="str">
        <f t="shared" si="7"/>
        <v/>
      </c>
      <c r="W54" s="11" t="str">
        <f t="shared" si="8"/>
        <v/>
      </c>
      <c r="X54" s="165">
        <v>20</v>
      </c>
      <c r="Y54" s="24"/>
    </row>
    <row r="55" spans="2:25" ht="45" customHeight="1" thickBot="1" x14ac:dyDescent="0.35">
      <c r="B55" s="24"/>
      <c r="C55" s="68" t="str">
        <f>IF(OR(I55="",I55="None"),"-",IF(OR(K55="-",K55="None"),E55&amp; " "&amp;"SEM-"&amp;F55&amp;" "&amp;"SKS-"&amp;G55&amp;  " "&amp;H55&amp;" "&amp;J55,E55&amp; " "&amp;"SEM-"&amp;F55&amp;" SKS-"&amp;G55&amp;" "&amp;"S"&amp;H55&amp;  " "&amp;H55&amp;" "&amp;J55&amp;"/"&amp;L55))</f>
        <v>-</v>
      </c>
      <c r="D55" s="14" t="str">
        <f>IF(J$50&gt;='TABLE SISTEM'!A$7,'TABLE MK'!A$9,"")</f>
        <v/>
      </c>
      <c r="E55" s="14" t="str">
        <f>IF(D55="","",(VLOOKUP(D55,Table1[Kode MK]:Table1[[#All],[Kode MK]:[Mata Kuliah Prasyarat]],2,)))</f>
        <v/>
      </c>
      <c r="F55" s="15" t="str">
        <f>IF(D55="","",(VLOOKUP(D55,Table1[Kode MK]:Table1[[#All],[Kode MK]:[Mata Kuliah Prasyarat]],3,)))</f>
        <v/>
      </c>
      <c r="G55" s="15" t="str">
        <f>IF(D55="","",(VLOOKUP(D55,Table1[Kode MK]:Table1[[#All],[Kode MK]:[Mata Kuliah Prasyarat]],4,)))</f>
        <v/>
      </c>
      <c r="H55" s="15" t="str">
        <f>IF(D55="","","E")</f>
        <v/>
      </c>
      <c r="I55" s="44" t="s">
        <v>105</v>
      </c>
      <c r="J55" s="17" t="str">
        <f>IF(I55="","",(VLOOKUP(I55,tbDosen[NAMA DOSEN]:tbDosen[[NAMA DOSEN]:[KODE]],2,)))</f>
        <v>-</v>
      </c>
      <c r="K55" s="39" t="s">
        <v>105</v>
      </c>
      <c r="L55" s="17" t="str">
        <f>IF(K55="","",(VLOOKUP(K55,tbDosen[NAMA DOSEN]:tbDosen[[NAMA DOSEN]:[KODE]],2,)))</f>
        <v>-</v>
      </c>
      <c r="M55" s="16" t="str">
        <f>IF(OR(I55="",I55="None"),"",IF(OR(K55="",K55="None"),I55,I55&amp;" / "&amp;K55))</f>
        <v/>
      </c>
      <c r="N55" s="16" t="str">
        <f t="shared" si="2"/>
        <v/>
      </c>
      <c r="O55" s="18" t="str">
        <f>IF(OR(I55="",I55="None"),"",IF(OR(K55="",K55="None"),G55,G55/2))</f>
        <v/>
      </c>
      <c r="P55" s="62" t="str">
        <f>IF(D55="","",(IF(AND(G55=4,U55&lt;2),"ADA",IF(AND(G55&lt;4,U55=0),"ADA","TIDAK"))))</f>
        <v/>
      </c>
      <c r="Q55" s="203" t="str">
        <f t="shared" si="3"/>
        <v/>
      </c>
      <c r="R55" s="203" t="str">
        <f t="shared" si="4"/>
        <v/>
      </c>
      <c r="S55" s="203" t="str">
        <f t="shared" si="5"/>
        <v/>
      </c>
      <c r="T55" s="203" t="str">
        <f t="shared" si="6"/>
        <v/>
      </c>
      <c r="U55" s="161">
        <v>0</v>
      </c>
      <c r="V55" s="164" t="str">
        <f t="shared" si="7"/>
        <v/>
      </c>
      <c r="W55" s="11" t="str">
        <f t="shared" si="8"/>
        <v/>
      </c>
      <c r="X55" s="165"/>
      <c r="Y55" s="24"/>
    </row>
    <row r="56" spans="2:25" ht="45" customHeight="1" thickBot="1" x14ac:dyDescent="0.35">
      <c r="B56" s="24"/>
      <c r="C56" s="67"/>
      <c r="D56" s="41" t="s">
        <v>157</v>
      </c>
      <c r="E56" s="256" t="str">
        <f>'TABLE MK'!B10</f>
        <v>Teori  Graf  </v>
      </c>
      <c r="F56" s="256"/>
      <c r="G56" s="256"/>
      <c r="H56" s="256"/>
      <c r="I56" s="41" t="s">
        <v>95</v>
      </c>
      <c r="J56" s="40">
        <v>4</v>
      </c>
      <c r="K56" s="42"/>
      <c r="L56" s="43"/>
      <c r="M56" s="43" t="s">
        <v>161</v>
      </c>
      <c r="N56" s="45"/>
      <c r="O56" s="42"/>
      <c r="P56" s="63"/>
      <c r="Q56" s="203" t="str">
        <f t="shared" si="3"/>
        <v/>
      </c>
      <c r="R56" s="203" t="str">
        <f t="shared" si="4"/>
        <v/>
      </c>
      <c r="S56" s="203" t="str">
        <f t="shared" si="5"/>
        <v>Jumlah Kelas</v>
      </c>
      <c r="T56" s="203">
        <f t="shared" si="6"/>
        <v>0</v>
      </c>
      <c r="U56" s="161">
        <v>0</v>
      </c>
      <c r="V56" s="164" t="str">
        <f t="shared" si="7"/>
        <v/>
      </c>
      <c r="W56" s="11" t="str">
        <f t="shared" si="8"/>
        <v/>
      </c>
      <c r="X56" s="165"/>
      <c r="Y56" s="24"/>
    </row>
    <row r="57" spans="2:25" ht="45" customHeight="1" thickBot="1" x14ac:dyDescent="0.35">
      <c r="B57" s="24"/>
      <c r="C57" s="68" t="str">
        <f>IF(OR(I57="",I57="None"),"-",IF(OR(K57="",K57="None"),E57&amp; " "&amp;"SEM-"&amp;F57&amp;" "&amp;"SKS-"&amp;G57&amp;  " "&amp;H57&amp;" "&amp;J57,E57&amp; " "&amp;"SEM-"&amp;F57&amp;" SKS-"&amp;G57&amp;" "&amp;"S"&amp;H57&amp;  " "&amp;H57&amp;" "&amp;J57&amp;"/"&amp;L57))</f>
        <v>Teori  Graf   SEM-3 SKS-2 SA A HN/AAJ</v>
      </c>
      <c r="D57" s="14" t="str">
        <f>IF(J$56&gt;='TABLE SISTEM'!A$3,'TABLE MK'!A$10,"")</f>
        <v>INF-55201-202</v>
      </c>
      <c r="E57" s="14" t="str">
        <f>IF(D57="","",(VLOOKUP(D57,Table1[Kode MK]:Table1[[#All],[Kode MK]:[Mata Kuliah Prasyarat]],2,)))</f>
        <v>Teori  Graf  </v>
      </c>
      <c r="F57" s="15">
        <f>IF(D57="","",(VLOOKUP(D57,Table1[Kode MK]:Table1[[#All],[Kode MK]:[Mata Kuliah Prasyarat]],3,)))</f>
        <v>3</v>
      </c>
      <c r="G57" s="15">
        <f>IF(D57="","",(VLOOKUP(D57,Table1[Kode MK]:Table1[[#All],[Kode MK]:[Mata Kuliah Prasyarat]],4,)))</f>
        <v>2</v>
      </c>
      <c r="H57" s="15" t="str">
        <f>IF(D57="","","A")</f>
        <v>A</v>
      </c>
      <c r="I57" s="39" t="s">
        <v>396</v>
      </c>
      <c r="J57" s="17" t="str">
        <f>IF(I57="","",(VLOOKUP(I57,tbDosen[NAMA DOSEN]:tbDosen[[NAMA DOSEN]:[KODE]],2,)))</f>
        <v>HN</v>
      </c>
      <c r="K57" s="39" t="s">
        <v>334</v>
      </c>
      <c r="L57" s="17" t="str">
        <f>IF(K57="","",(VLOOKUP(K57,tbDosen[NAMA DOSEN]:tbDosen[[NAMA DOSEN]:[KODE]],2,)))</f>
        <v>AAJ</v>
      </c>
      <c r="M57" s="16" t="str">
        <f>IF(OR(I57="",I57="None"),"",IF(OR(K57="",K57="None"),I57,I57&amp;" / "&amp;K57))</f>
        <v>Haried Novriando, S.Kom, M.Eng / Alfian Abdul Jalid, S.Kom., M.Cs.</v>
      </c>
      <c r="N57" s="16" t="str">
        <f t="shared" si="2"/>
        <v>HN / AAJ</v>
      </c>
      <c r="O57" s="18">
        <f>IF(OR(I57="",I57="None"),"",IF(OR(K57="",K57="None"),G57,G57/2))</f>
        <v>1</v>
      </c>
      <c r="P57" s="60" t="str">
        <f>IF(D57="","",(IF(AND(G57=4,U57&lt;2),"ADA",IF(AND(G57&lt;4,U57=0),"ADA","TIDAK"))))</f>
        <v>TIDAK</v>
      </c>
      <c r="Q57" s="203" t="str">
        <f t="shared" si="3"/>
        <v/>
      </c>
      <c r="R57" s="203" t="str">
        <f t="shared" si="4"/>
        <v/>
      </c>
      <c r="S57" s="203" t="str">
        <f t="shared" si="5"/>
        <v>Haried Novriando, S.Kom, M.Eng</v>
      </c>
      <c r="T57" s="203" t="str">
        <f t="shared" si="6"/>
        <v>Alfian Abdul Jalid, S.Kom., M.Cs.</v>
      </c>
      <c r="U57" s="161">
        <v>1</v>
      </c>
      <c r="V57" s="164" t="str">
        <f t="shared" si="7"/>
        <v>PAS</v>
      </c>
      <c r="W57" s="11" t="str">
        <f t="shared" si="8"/>
        <v/>
      </c>
      <c r="X57" s="165">
        <v>25</v>
      </c>
      <c r="Y57" s="24"/>
    </row>
    <row r="58" spans="2:25" ht="45" customHeight="1" thickBot="1" x14ac:dyDescent="0.35">
      <c r="B58" s="24"/>
      <c r="C58" s="68" t="str">
        <f>IF(OR(I58="",I58="None"),"-",IF(OR(K58="",K58="None"),E58&amp; " "&amp;"SEM-"&amp;F58&amp;" "&amp;"SKS-"&amp;G58&amp;  " "&amp;H58&amp;" "&amp;J58,E58&amp; " "&amp;"SEM-"&amp;F58&amp;" SKS-"&amp;G58&amp;" "&amp;"S"&amp;H58&amp;  " "&amp;H58&amp;" "&amp;J58&amp;"/"&amp;L58))</f>
        <v>Teori  Graf   SEM-3 SKS-2 SB B HN/KH</v>
      </c>
      <c r="D58" s="14" t="str">
        <f>IF(J$56&gt;='TABLE SISTEM'!A$4,'TABLE MK'!A$10,"")</f>
        <v>INF-55201-202</v>
      </c>
      <c r="E58" s="14" t="str">
        <f>IF(D58="","",(VLOOKUP(D58,Table1[Kode MK]:Table1[[#All],[Kode MK]:[Mata Kuliah Prasyarat]],2,)))</f>
        <v>Teori  Graf  </v>
      </c>
      <c r="F58" s="15">
        <f>IF(D58="","",(VLOOKUP(D58,Table1[Kode MK]:Table1[[#All],[Kode MK]:[Mata Kuliah Prasyarat]],3,)))</f>
        <v>3</v>
      </c>
      <c r="G58" s="15">
        <f>IF(D58="","",(VLOOKUP(D58,Table1[Kode MK]:Table1[[#All],[Kode MK]:[Mata Kuliah Prasyarat]],4,)))</f>
        <v>2</v>
      </c>
      <c r="H58" s="15" t="str">
        <f>IF(D58="","","B")</f>
        <v>B</v>
      </c>
      <c r="I58" s="39" t="s">
        <v>396</v>
      </c>
      <c r="J58" s="17" t="str">
        <f>IF(I58="","",(VLOOKUP(I58,tbDosen[NAMA DOSEN]:tbDosen[[NAMA DOSEN]:[KODE]],2,)))</f>
        <v>HN</v>
      </c>
      <c r="K58" s="39" t="s">
        <v>337</v>
      </c>
      <c r="L58" s="17" t="str">
        <f>IF(K58="","",(VLOOKUP(K58,tbDosen[NAMA DOSEN]:tbDosen[[NAMA DOSEN]:[KODE]],2,)))</f>
        <v>KH</v>
      </c>
      <c r="M58" s="16" t="str">
        <f>IF(OR(I58="",I58="None"),"",IF(OR(K58="",K58="None"),I58,I58&amp;" / "&amp;K58))</f>
        <v>Haried Novriando, S.Kom, M.Eng / Khairul Hafidh, S.T., M.Kom.</v>
      </c>
      <c r="N58" s="16" t="str">
        <f t="shared" si="2"/>
        <v>HN / KH</v>
      </c>
      <c r="O58" s="18">
        <f>IF(OR(I58="",I58="None"),"",IF(OR(K58="",K58="None"),G58,G58/2))</f>
        <v>1</v>
      </c>
      <c r="P58" s="61" t="str">
        <f>IF(D58="","",(IF(AND(G58=4,U58&lt;2),"ADA",IF(AND(G58&lt;4,U58=0),"ADA","TIDAK"))))</f>
        <v>TIDAK</v>
      </c>
      <c r="Q58" s="203" t="str">
        <f t="shared" si="3"/>
        <v/>
      </c>
      <c r="R58" s="203" t="str">
        <f t="shared" si="4"/>
        <v/>
      </c>
      <c r="S58" s="203" t="str">
        <f t="shared" si="5"/>
        <v>Haried Novriando, S.Kom, M.Eng</v>
      </c>
      <c r="T58" s="203" t="str">
        <f t="shared" si="6"/>
        <v>Khairul Hafidh, S.T., M.Kom.</v>
      </c>
      <c r="U58" s="161">
        <v>1</v>
      </c>
      <c r="V58" s="164" t="str">
        <f t="shared" si="7"/>
        <v>PAS</v>
      </c>
      <c r="W58" s="11" t="str">
        <f t="shared" si="8"/>
        <v/>
      </c>
      <c r="X58" s="165">
        <v>25</v>
      </c>
      <c r="Y58" s="24"/>
    </row>
    <row r="59" spans="2:25" ht="45" customHeight="1" thickBot="1" x14ac:dyDescent="0.35">
      <c r="B59" s="24"/>
      <c r="C59" s="68" t="str">
        <f>IF(OR(I59="",I59="None"),"-",IF(OR(K59="",K59="None"),E59&amp; " "&amp;"SEM-"&amp;F59&amp;" "&amp;"SKS-"&amp;G59&amp;  " "&amp;H59&amp;" "&amp;J59,E59&amp; " "&amp;"SEM-"&amp;F59&amp;" SKS-"&amp;G59&amp;" "&amp;"S"&amp;H59&amp;  " "&amp;H59&amp;" "&amp;J59&amp;"/"&amp;L59))</f>
        <v>Teori  Graf   SEM-3 SKS-2 SC C HN/AAJ</v>
      </c>
      <c r="D59" s="14" t="str">
        <f>IF(J$56&gt;='TABLE SISTEM'!A$5,'TABLE MK'!A$10,"")</f>
        <v>INF-55201-202</v>
      </c>
      <c r="E59" s="14" t="str">
        <f>IF(D59="","",(VLOOKUP(D59,Table1[Kode MK]:Table1[[#All],[Kode MK]:[Mata Kuliah Prasyarat]],2,)))</f>
        <v>Teori  Graf  </v>
      </c>
      <c r="F59" s="15">
        <f>IF(D59="","",(VLOOKUP(D59,Table1[Kode MK]:Table1[[#All],[Kode MK]:[Mata Kuliah Prasyarat]],3,)))</f>
        <v>3</v>
      </c>
      <c r="G59" s="15">
        <f>IF(D59="","",(VLOOKUP(D59,Table1[Kode MK]:Table1[[#All],[Kode MK]:[Mata Kuliah Prasyarat]],4,)))</f>
        <v>2</v>
      </c>
      <c r="H59" s="15" t="str">
        <f>IF(D59="","","C")</f>
        <v>C</v>
      </c>
      <c r="I59" s="39" t="s">
        <v>396</v>
      </c>
      <c r="J59" s="17" t="str">
        <f>IF(I59="","",(VLOOKUP(I59,tbDosen[NAMA DOSEN]:tbDosen[[NAMA DOSEN]:[KODE]],2,)))</f>
        <v>HN</v>
      </c>
      <c r="K59" s="39" t="s">
        <v>334</v>
      </c>
      <c r="L59" s="17" t="str">
        <f>IF(K59="","",(VLOOKUP(K59,tbDosen[NAMA DOSEN]:tbDosen[[NAMA DOSEN]:[KODE]],2,)))</f>
        <v>AAJ</v>
      </c>
      <c r="M59" s="16" t="str">
        <f>IF(OR(I59="",I59="None"),"",IF(OR(K59="",K59="None"),I59,I59&amp;" / "&amp;K59))</f>
        <v>Haried Novriando, S.Kom, M.Eng / Alfian Abdul Jalid, S.Kom., M.Cs.</v>
      </c>
      <c r="N59" s="16" t="str">
        <f t="shared" si="2"/>
        <v>HN / AAJ</v>
      </c>
      <c r="O59" s="18">
        <f>IF(OR(I59="",I59="None"),"",IF(OR(K59="",K59="None"),G59,G59/2))</f>
        <v>1</v>
      </c>
      <c r="P59" s="61" t="str">
        <f>IF(D59="","",(IF(AND(G59=4,U59&lt;2),"ADA",IF(AND(G59&lt;4,U59=0),"ADA","TIDAK"))))</f>
        <v>TIDAK</v>
      </c>
      <c r="Q59" s="203" t="str">
        <f t="shared" si="3"/>
        <v/>
      </c>
      <c r="R59" s="203" t="str">
        <f t="shared" si="4"/>
        <v/>
      </c>
      <c r="S59" s="203" t="str">
        <f t="shared" si="5"/>
        <v>Haried Novriando, S.Kom, M.Eng</v>
      </c>
      <c r="T59" s="203" t="str">
        <f t="shared" si="6"/>
        <v>Alfian Abdul Jalid, S.Kom., M.Cs.</v>
      </c>
      <c r="U59" s="161">
        <v>1</v>
      </c>
      <c r="V59" s="164" t="str">
        <f t="shared" si="7"/>
        <v>PAS</v>
      </c>
      <c r="W59" s="11" t="str">
        <f t="shared" si="8"/>
        <v/>
      </c>
      <c r="X59" s="165">
        <v>25</v>
      </c>
      <c r="Y59" s="24"/>
    </row>
    <row r="60" spans="2:25" ht="45" customHeight="1" thickBot="1" x14ac:dyDescent="0.35">
      <c r="B60" s="24"/>
      <c r="C60" s="68" t="str">
        <f>IF(OR(I60="",I60="None"),"-",IF(OR(K60="",K60="None"),E60&amp; " "&amp;"SEM-"&amp;F60&amp;" "&amp;"SKS-"&amp;G60&amp;  " "&amp;H60&amp;" "&amp;J60,E60&amp; " "&amp;"SEM-"&amp;F60&amp;" SKS-"&amp;G60&amp;" "&amp;"S"&amp;H60&amp;  " "&amp;H60&amp;" "&amp;J60&amp;"/"&amp;L60))</f>
        <v>Teori  Graf   SEM-3 SKS-2 D HN</v>
      </c>
      <c r="D60" s="14" t="str">
        <f>IF(J$56&gt;='TABLE SISTEM'!A$6,'TABLE MK'!A$10,"")</f>
        <v>INF-55201-202</v>
      </c>
      <c r="E60" s="14" t="str">
        <f>IF(D60="","",(VLOOKUP(D60,Table1[Kode MK]:Table1[[#All],[Kode MK]:[Mata Kuliah Prasyarat]],2,)))</f>
        <v>Teori  Graf  </v>
      </c>
      <c r="F60" s="15">
        <f>IF(D60="","",(VLOOKUP(D60,Table1[Kode MK]:Table1[[#All],[Kode MK]:[Mata Kuliah Prasyarat]],3,)))</f>
        <v>3</v>
      </c>
      <c r="G60" s="15">
        <f>IF(D60="","",(VLOOKUP(D60,Table1[Kode MK]:Table1[[#All],[Kode MK]:[Mata Kuliah Prasyarat]],4,)))</f>
        <v>2</v>
      </c>
      <c r="H60" s="15" t="str">
        <f>IF(D60="","","D")</f>
        <v>D</v>
      </c>
      <c r="I60" s="21" t="s">
        <v>396</v>
      </c>
      <c r="J60" s="17" t="str">
        <f>IF(I60="","",(VLOOKUP(I60,tbDosen[NAMA DOSEN]:tbDosen[[NAMA DOSEN]:[KODE]],2,)))</f>
        <v>HN</v>
      </c>
      <c r="K60" s="39" t="s">
        <v>105</v>
      </c>
      <c r="L60" s="17" t="str">
        <f>IF(K60="","",(VLOOKUP(K60,tbDosen[NAMA DOSEN]:tbDosen[[NAMA DOSEN]:[KODE]],2,)))</f>
        <v>-</v>
      </c>
      <c r="M60" s="16" t="str">
        <f>IF(OR(I60="",I60="None"),"",IF(OR(K60="",K60="None"),I60,I60&amp;" / "&amp;K60))</f>
        <v>Haried Novriando, S.Kom, M.Eng</v>
      </c>
      <c r="N60" s="16" t="str">
        <f t="shared" si="2"/>
        <v>HN</v>
      </c>
      <c r="O60" s="18">
        <f>IF(OR(I60="",I60="None"),"",IF(OR(K60="",K60="None"),G60,G60/2))</f>
        <v>2</v>
      </c>
      <c r="P60" s="61" t="str">
        <f>IF(D60="","",(IF(AND(G60=4,U60&lt;2),"ADA",IF(AND(G60&lt;4,U60=0),"ADA","TIDAK"))))</f>
        <v>TIDAK</v>
      </c>
      <c r="Q60" s="203" t="str">
        <f t="shared" si="3"/>
        <v/>
      </c>
      <c r="R60" s="203" t="str">
        <f t="shared" si="4"/>
        <v/>
      </c>
      <c r="S60" s="203" t="str">
        <f t="shared" si="5"/>
        <v/>
      </c>
      <c r="T60" s="203" t="str">
        <f t="shared" si="6"/>
        <v/>
      </c>
      <c r="U60" s="161">
        <v>1</v>
      </c>
      <c r="V60" s="164" t="str">
        <f t="shared" si="7"/>
        <v>PAS</v>
      </c>
      <c r="W60" s="11" t="str">
        <f t="shared" si="8"/>
        <v/>
      </c>
      <c r="X60" s="165">
        <v>25</v>
      </c>
      <c r="Y60" s="24"/>
    </row>
    <row r="61" spans="2:25" ht="45" customHeight="1" thickBot="1" x14ac:dyDescent="0.35">
      <c r="B61" s="24"/>
      <c r="C61" s="68" t="str">
        <f>IF(OR(I61="",I61="None"),"-",IF(OR(K61="",K61="None"),E61&amp; " "&amp;"SEM-"&amp;F61&amp;" "&amp;"SKS-"&amp;G61&amp;  " "&amp;H61&amp;" "&amp;J61,E61&amp; " "&amp;"SEM-"&amp;F61&amp;" SKS-"&amp;G61&amp;" "&amp;"S"&amp;H61&amp;  " "&amp;H61&amp;" "&amp;J61&amp;"/"&amp;L61))</f>
        <v>-</v>
      </c>
      <c r="D61" s="14" t="str">
        <f>IF(J$56&gt;='TABLE SISTEM'!A$7,'TABLE MK'!A$10,"")</f>
        <v/>
      </c>
      <c r="E61" s="14" t="str">
        <f>IF(D61="","",(VLOOKUP(D61,Table1[Kode MK]:Table1[[#All],[Kode MK]:[Mata Kuliah Prasyarat]],2,)))</f>
        <v/>
      </c>
      <c r="F61" s="15" t="str">
        <f>IF(D61="","",(VLOOKUP(D61,Table1[Kode MK]:Table1[[#All],[Kode MK]:[Mata Kuliah Prasyarat]],3,)))</f>
        <v/>
      </c>
      <c r="G61" s="15" t="str">
        <f>IF(D61="","",(VLOOKUP(D61,Table1[Kode MK]:Table1[[#All],[Kode MK]:[Mata Kuliah Prasyarat]],4,)))</f>
        <v/>
      </c>
      <c r="H61" s="15" t="str">
        <f>IF(D61="","","E")</f>
        <v/>
      </c>
      <c r="I61" s="44" t="s">
        <v>105</v>
      </c>
      <c r="J61" s="17" t="str">
        <f>IF(I61="","",(VLOOKUP(I61,tbDosen[NAMA DOSEN]:tbDosen[[NAMA DOSEN]:[KODE]],2,)))</f>
        <v>-</v>
      </c>
      <c r="K61" s="39" t="s">
        <v>105</v>
      </c>
      <c r="L61" s="17" t="str">
        <f>IF(K61="","",(VLOOKUP(K61,tbDosen[NAMA DOSEN]:tbDosen[[NAMA DOSEN]:[KODE]],2,)))</f>
        <v>-</v>
      </c>
      <c r="M61" s="16" t="str">
        <f>IF(OR(I61="",I61="None"),"",IF(OR(K61="",K61="None"),I61,I61&amp;" / "&amp;K61))</f>
        <v/>
      </c>
      <c r="N61" s="16" t="str">
        <f t="shared" si="2"/>
        <v/>
      </c>
      <c r="O61" s="18" t="str">
        <f>IF(OR(I61="",I61="None"),"",IF(OR(K61="",K61="None"),G61,G61/2))</f>
        <v/>
      </c>
      <c r="P61" s="62" t="str">
        <f>IF(D61="","",(IF(AND(G61=4,U61&lt;2),"ADA",IF(AND(G61&lt;4,U61=0),"ADA","TIDAK"))))</f>
        <v/>
      </c>
      <c r="Q61" s="203" t="str">
        <f t="shared" si="3"/>
        <v/>
      </c>
      <c r="R61" s="203" t="str">
        <f t="shared" si="4"/>
        <v/>
      </c>
      <c r="S61" s="203" t="str">
        <f t="shared" si="5"/>
        <v/>
      </c>
      <c r="T61" s="203" t="str">
        <f t="shared" si="6"/>
        <v/>
      </c>
      <c r="U61" s="161">
        <v>0</v>
      </c>
      <c r="V61" s="164" t="str">
        <f t="shared" si="7"/>
        <v/>
      </c>
      <c r="W61" s="11" t="str">
        <f t="shared" si="8"/>
        <v/>
      </c>
      <c r="X61" s="165"/>
      <c r="Y61" s="24"/>
    </row>
    <row r="62" spans="2:25" ht="45" customHeight="1" thickBot="1" x14ac:dyDescent="0.35">
      <c r="B62" s="24"/>
      <c r="C62" s="67"/>
      <c r="D62" s="41" t="s">
        <v>157</v>
      </c>
      <c r="E62" s="256" t="str">
        <f>'TABLE MK'!B11</f>
        <v>Matematika  Diskrit  </v>
      </c>
      <c r="F62" s="256"/>
      <c r="G62" s="256"/>
      <c r="H62" s="256"/>
      <c r="I62" s="41" t="s">
        <v>95</v>
      </c>
      <c r="J62" s="40">
        <v>3</v>
      </c>
      <c r="K62" s="42"/>
      <c r="L62" s="43"/>
      <c r="M62" s="43" t="s">
        <v>161</v>
      </c>
      <c r="N62" s="45"/>
      <c r="O62" s="42"/>
      <c r="P62" s="63"/>
      <c r="Q62" s="203" t="str">
        <f t="shared" si="3"/>
        <v/>
      </c>
      <c r="R62" s="203" t="str">
        <f t="shared" si="4"/>
        <v/>
      </c>
      <c r="S62" s="203" t="str">
        <f t="shared" si="5"/>
        <v>Jumlah Kelas</v>
      </c>
      <c r="T62" s="203">
        <f t="shared" si="6"/>
        <v>0</v>
      </c>
      <c r="U62" s="161">
        <v>0</v>
      </c>
      <c r="V62" s="164" t="str">
        <f t="shared" si="7"/>
        <v/>
      </c>
      <c r="W62" s="11" t="str">
        <f t="shared" si="8"/>
        <v/>
      </c>
      <c r="X62" s="165"/>
      <c r="Y62" s="24"/>
    </row>
    <row r="63" spans="2:25" ht="45" customHeight="1" thickBot="1" x14ac:dyDescent="0.35">
      <c r="B63" s="24"/>
      <c r="C63" s="68" t="str">
        <f>IF(OR(I63="",I63="None"),"-",IF(OR(K63="",K63="None"),E63&amp; " "&amp;"SEM-"&amp;F63&amp;" "&amp;"SKS-"&amp;G63&amp;  " "&amp;H63&amp;" "&amp;J63,E63&amp; " "&amp;"SEM-"&amp;F63&amp;" SKS-"&amp;G63&amp;" "&amp;"S"&amp;H63&amp;  " "&amp;H63&amp;" "&amp;J63&amp;"/"&amp;L63))</f>
        <v>Matematika  Diskrit   SEM-3 SKS-3 SA A YL/KH</v>
      </c>
      <c r="D63" s="14" t="str">
        <f>IF(J$62&gt;='TABLE SISTEM'!A$3,'TABLE MK'!A$11,"")</f>
        <v>INF-55201-203</v>
      </c>
      <c r="E63" s="14" t="str">
        <f>IF(D63="","",(VLOOKUP(D63,Table1[Kode MK]:Table1[[#All],[Kode MK]:[Mata Kuliah Prasyarat]],2,)))</f>
        <v>Matematika  Diskrit  </v>
      </c>
      <c r="F63" s="15">
        <f>IF(D63="","",(VLOOKUP(D63,Table1[Kode MK]:Table1[[#All],[Kode MK]:[Mata Kuliah Prasyarat]],3,)))</f>
        <v>3</v>
      </c>
      <c r="G63" s="15">
        <f>IF(D63="","",(VLOOKUP(D63,Table1[Kode MK]:Table1[[#All],[Kode MK]:[Mata Kuliah Prasyarat]],4,)))</f>
        <v>3</v>
      </c>
      <c r="H63" s="15" t="str">
        <f>IF(D63="","","A")</f>
        <v>A</v>
      </c>
      <c r="I63" s="39" t="s">
        <v>145</v>
      </c>
      <c r="J63" s="17" t="str">
        <f>IF(I63="","",(VLOOKUP(I63,tbDosen[NAMA DOSEN]:tbDosen[[NAMA DOSEN]:[KODE]],2,)))</f>
        <v>YL</v>
      </c>
      <c r="K63" s="39" t="s">
        <v>337</v>
      </c>
      <c r="L63" s="17" t="str">
        <f>IF(K63="","",(VLOOKUP(K63,tbDosen[NAMA DOSEN]:tbDosen[[NAMA DOSEN]:[KODE]],2,)))</f>
        <v>KH</v>
      </c>
      <c r="M63" s="16" t="str">
        <f>IF(OR(I63="",I63="None"),"",IF(OR(K63="",K63="None"),I63,I63&amp;" / "&amp;K63))</f>
        <v>Yulianti,S.Kom, MMSI / Khairul Hafidh, S.T., M.Kom.</v>
      </c>
      <c r="N63" s="16" t="str">
        <f t="shared" si="2"/>
        <v>YL / KH</v>
      </c>
      <c r="O63" s="18">
        <f>IF(OR(I63="",I63="None"),"",IF(OR(K63="",K63="None"),G63,G63/2))</f>
        <v>1.5</v>
      </c>
      <c r="P63" s="60" t="str">
        <f>IF(D63="","",(IF(AND(G63=4,U63&lt;2),"ADA",IF(AND(G63&lt;4,U63=0),"ADA","TIDAK"))))</f>
        <v>TIDAK</v>
      </c>
      <c r="Q63" s="203" t="str">
        <f t="shared" si="3"/>
        <v/>
      </c>
      <c r="R63" s="203" t="str">
        <f t="shared" si="4"/>
        <v/>
      </c>
      <c r="S63" s="203" t="str">
        <f t="shared" si="5"/>
        <v>Yulianti,S.Kom, MMSI</v>
      </c>
      <c r="T63" s="203" t="str">
        <f t="shared" si="6"/>
        <v>Khairul Hafidh, S.T., M.Kom.</v>
      </c>
      <c r="U63" s="161">
        <v>1</v>
      </c>
      <c r="V63" s="164" t="str">
        <f t="shared" si="7"/>
        <v>PAS</v>
      </c>
      <c r="W63" s="11" t="str">
        <f t="shared" si="8"/>
        <v/>
      </c>
      <c r="X63" s="165">
        <v>25</v>
      </c>
      <c r="Y63" s="24"/>
    </row>
    <row r="64" spans="2:25" ht="45" customHeight="1" thickBot="1" x14ac:dyDescent="0.35">
      <c r="B64" s="24"/>
      <c r="C64" s="68" t="str">
        <f>IF(OR(I64="",I64="None"),"-",IF(OR(K64="",K64="None"),E64&amp; " "&amp;"SEM-"&amp;F64&amp;" "&amp;"SKS-"&amp;G64&amp;  " "&amp;H64&amp;" "&amp;J64,E64&amp; " "&amp;"SEM-"&amp;F64&amp;" SKS-"&amp;G64&amp;" "&amp;"S"&amp;H64&amp;  " "&amp;H64&amp;" "&amp;J64&amp;"/"&amp;L64))</f>
        <v>Matematika  Diskrit   SEM-3 SKS-3 B YL</v>
      </c>
      <c r="D64" s="14" t="str">
        <f>IF(J$62&gt;='TABLE SISTEM'!A$4,'TABLE MK'!A$11,"")</f>
        <v>INF-55201-203</v>
      </c>
      <c r="E64" s="14" t="str">
        <f>IF(D64="","",(VLOOKUP(D64,Table1[Kode MK]:Table1[[#All],[Kode MK]:[Mata Kuliah Prasyarat]],2,)))</f>
        <v>Matematika  Diskrit  </v>
      </c>
      <c r="F64" s="15">
        <f>IF(D64="","",(VLOOKUP(D64,Table1[Kode MK]:Table1[[#All],[Kode MK]:[Mata Kuliah Prasyarat]],3,)))</f>
        <v>3</v>
      </c>
      <c r="G64" s="15">
        <f>IF(D64="","",(VLOOKUP(D64,Table1[Kode MK]:Table1[[#All],[Kode MK]:[Mata Kuliah Prasyarat]],4,)))</f>
        <v>3</v>
      </c>
      <c r="H64" s="15" t="str">
        <f>IF(D64="","","B")</f>
        <v>B</v>
      </c>
      <c r="I64" s="21" t="s">
        <v>145</v>
      </c>
      <c r="J64" s="17" t="str">
        <f>IF(I64="","",(VLOOKUP(I64,tbDosen[NAMA DOSEN]:tbDosen[[NAMA DOSEN]:[KODE]],2,)))</f>
        <v>YL</v>
      </c>
      <c r="K64" s="39" t="s">
        <v>105</v>
      </c>
      <c r="L64" s="17" t="str">
        <f>IF(K64="","",(VLOOKUP(K64,tbDosen[NAMA DOSEN]:tbDosen[[NAMA DOSEN]:[KODE]],2,)))</f>
        <v>-</v>
      </c>
      <c r="M64" s="16" t="str">
        <f>IF(OR(I64="",I64="None"),"",IF(OR(K64="",K64="None"),I64,I64&amp;" / "&amp;K64))</f>
        <v>Yulianti,S.Kom, MMSI</v>
      </c>
      <c r="N64" s="16" t="str">
        <f t="shared" si="2"/>
        <v>YL</v>
      </c>
      <c r="O64" s="18">
        <f>IF(OR(I64="",I64="None"),"",IF(OR(K64="",K64="None"),G64,G64/2))</f>
        <v>3</v>
      </c>
      <c r="P64" s="61" t="str">
        <f>IF(D64="","",(IF(AND(G64=4,U64&lt;2),"ADA",IF(AND(G64&lt;4,U64=0),"ADA","TIDAK"))))</f>
        <v>TIDAK</v>
      </c>
      <c r="Q64" s="203" t="str">
        <f t="shared" si="3"/>
        <v/>
      </c>
      <c r="R64" s="203" t="str">
        <f t="shared" si="4"/>
        <v/>
      </c>
      <c r="S64" s="203" t="str">
        <f t="shared" si="5"/>
        <v/>
      </c>
      <c r="T64" s="203" t="str">
        <f t="shared" si="6"/>
        <v/>
      </c>
      <c r="U64" s="161">
        <v>1</v>
      </c>
      <c r="V64" s="164" t="str">
        <f t="shared" si="7"/>
        <v>PAS</v>
      </c>
      <c r="W64" s="11" t="str">
        <f t="shared" si="8"/>
        <v/>
      </c>
      <c r="X64" s="165">
        <v>25</v>
      </c>
      <c r="Y64" s="24"/>
    </row>
    <row r="65" spans="2:25" ht="45" customHeight="1" thickBot="1" x14ac:dyDescent="0.35">
      <c r="B65" s="24"/>
      <c r="C65" s="68" t="str">
        <f>IF(OR(I65="",I65="None"),"-",IF(OR(K65="",K65="None"),E65&amp; " "&amp;"SEM-"&amp;F65&amp;" "&amp;"SKS-"&amp;G65&amp;  " "&amp;H65&amp;" "&amp;J65,E65&amp; " "&amp;"SEM-"&amp;F65&amp;" SKS-"&amp;G65&amp;" "&amp;"S"&amp;H65&amp;  " "&amp;H65&amp;" "&amp;J65&amp;"/"&amp;L65))</f>
        <v>Matematika  Diskrit   SEM-3 SKS-3 SC C YL/KH</v>
      </c>
      <c r="D65" s="14" t="str">
        <f>IF(J$62&gt;='TABLE SISTEM'!A$5,'TABLE MK'!A$11,"")</f>
        <v>INF-55201-203</v>
      </c>
      <c r="E65" s="14" t="str">
        <f>IF(D65="","",(VLOOKUP(D65,Table1[Kode MK]:Table1[[#All],[Kode MK]:[Mata Kuliah Prasyarat]],2,)))</f>
        <v>Matematika  Diskrit  </v>
      </c>
      <c r="F65" s="15">
        <f>IF(D65="","",(VLOOKUP(D65,Table1[Kode MK]:Table1[[#All],[Kode MK]:[Mata Kuliah Prasyarat]],3,)))</f>
        <v>3</v>
      </c>
      <c r="G65" s="15">
        <f>IF(D65="","",(VLOOKUP(D65,Table1[Kode MK]:Table1[[#All],[Kode MK]:[Mata Kuliah Prasyarat]],4,)))</f>
        <v>3</v>
      </c>
      <c r="H65" s="15" t="str">
        <f>IF(D65="","","C")</f>
        <v>C</v>
      </c>
      <c r="I65" s="21" t="s">
        <v>145</v>
      </c>
      <c r="J65" s="17" t="str">
        <f>IF(I65="","",(VLOOKUP(I65,tbDosen[NAMA DOSEN]:tbDosen[[NAMA DOSEN]:[KODE]],2,)))</f>
        <v>YL</v>
      </c>
      <c r="K65" s="39" t="s">
        <v>337</v>
      </c>
      <c r="L65" s="17" t="str">
        <f>IF(K65="","",(VLOOKUP(K65,tbDosen[NAMA DOSEN]:tbDosen[[NAMA DOSEN]:[KODE]],2,)))</f>
        <v>KH</v>
      </c>
      <c r="M65" s="16" t="str">
        <f>IF(OR(I65="",I65="None"),"",IF(OR(K65="",K65="None"),I65,I65&amp;" / "&amp;K65))</f>
        <v>Yulianti,S.Kom, MMSI / Khairul Hafidh, S.T., M.Kom.</v>
      </c>
      <c r="N65" s="16" t="str">
        <f t="shared" si="2"/>
        <v>YL / KH</v>
      </c>
      <c r="O65" s="18">
        <f>IF(OR(I65="",I65="None"),"",IF(OR(K65="",K65="None"),G65,G65/2))</f>
        <v>1.5</v>
      </c>
      <c r="P65" s="61" t="str">
        <f>IF(D65="","",(IF(AND(G65=4,U65&lt;2),"ADA",IF(AND(G65&lt;4,U65=0),"ADA","TIDAK"))))</f>
        <v>TIDAK</v>
      </c>
      <c r="Q65" s="203" t="str">
        <f t="shared" si="3"/>
        <v/>
      </c>
      <c r="R65" s="203" t="str">
        <f t="shared" si="4"/>
        <v/>
      </c>
      <c r="S65" s="203" t="str">
        <f t="shared" si="5"/>
        <v>Yulianti,S.Kom, MMSI</v>
      </c>
      <c r="T65" s="203" t="str">
        <f t="shared" si="6"/>
        <v>Khairul Hafidh, S.T., M.Kom.</v>
      </c>
      <c r="U65" s="161">
        <v>1</v>
      </c>
      <c r="V65" s="164" t="str">
        <f t="shared" si="7"/>
        <v>PAS</v>
      </c>
      <c r="W65" s="11" t="str">
        <f t="shared" si="8"/>
        <v/>
      </c>
      <c r="X65" s="165">
        <v>25</v>
      </c>
      <c r="Y65" s="24"/>
    </row>
    <row r="66" spans="2:25" ht="45" customHeight="1" thickBot="1" x14ac:dyDescent="0.35">
      <c r="B66" s="24"/>
      <c r="C66" s="68" t="str">
        <f>IF(OR(I66="",I66="None"),"-",IF(OR(K66="",K66="None"),E66&amp; " "&amp;"SEM-"&amp;F66&amp;" "&amp;"SKS-"&amp;G66&amp;  " "&amp;H66&amp;" "&amp;J66,E66&amp; " "&amp;"SEM-"&amp;F66&amp;" SKS-"&amp;G66&amp;" "&amp;"S"&amp;H66&amp;  " "&amp;H66&amp;" "&amp;J66&amp;"/"&amp;L66))</f>
        <v>-</v>
      </c>
      <c r="D66" s="14" t="str">
        <f>IF(J$62&gt;='TABLE SISTEM'!A$6,'TABLE MK'!A$11,"")</f>
        <v/>
      </c>
      <c r="E66" s="14" t="str">
        <f>IF(D66="","",(VLOOKUP(D66,Table1[Kode MK]:Table1[[#All],[Kode MK]:[Mata Kuliah Prasyarat]],2,)))</f>
        <v/>
      </c>
      <c r="F66" s="15" t="str">
        <f>IF(D66="","",(VLOOKUP(D66,Table1[Kode MK]:Table1[[#All],[Kode MK]:[Mata Kuliah Prasyarat]],3,)))</f>
        <v/>
      </c>
      <c r="G66" s="15" t="str">
        <f>IF(D66="","",(VLOOKUP(D66,Table1[Kode MK]:Table1[[#All],[Kode MK]:[Mata Kuliah Prasyarat]],4,)))</f>
        <v/>
      </c>
      <c r="H66" s="15" t="str">
        <f>IF(D66="","","D")</f>
        <v/>
      </c>
      <c r="I66" s="21" t="s">
        <v>105</v>
      </c>
      <c r="J66" s="17" t="str">
        <f>IF(I66="","",(VLOOKUP(I66,tbDosen[NAMA DOSEN]:tbDosen[[NAMA DOSEN]:[KODE]],2,)))</f>
        <v>-</v>
      </c>
      <c r="K66" s="39" t="s">
        <v>105</v>
      </c>
      <c r="L66" s="17" t="str">
        <f>IF(K66="","",(VLOOKUP(K66,tbDosen[NAMA DOSEN]:tbDosen[[NAMA DOSEN]:[KODE]],2,)))</f>
        <v>-</v>
      </c>
      <c r="M66" s="16" t="str">
        <f>IF(OR(I66="",I66="None"),"",IF(OR(K66="",K66="None"),I66,I66&amp;" / "&amp;K66))</f>
        <v/>
      </c>
      <c r="N66" s="16" t="str">
        <f t="shared" si="2"/>
        <v/>
      </c>
      <c r="O66" s="18" t="str">
        <f>IF(OR(I66="",I66="None"),"",IF(OR(K66="",K66="None"),G66,G66/2))</f>
        <v/>
      </c>
      <c r="P66" s="61" t="str">
        <f>IF(D66="","",(IF(AND(G66=4,U66&lt;2),"ADA",IF(AND(G66&lt;4,U66=0),"ADA","TIDAK"))))</f>
        <v/>
      </c>
      <c r="Q66" s="203" t="str">
        <f t="shared" si="3"/>
        <v/>
      </c>
      <c r="R66" s="203" t="str">
        <f t="shared" si="4"/>
        <v/>
      </c>
      <c r="S66" s="203" t="str">
        <f t="shared" si="5"/>
        <v/>
      </c>
      <c r="T66" s="203" t="str">
        <f t="shared" si="6"/>
        <v/>
      </c>
      <c r="U66" s="161">
        <v>0</v>
      </c>
      <c r="V66" s="164" t="str">
        <f t="shared" si="7"/>
        <v/>
      </c>
      <c r="W66" s="11" t="str">
        <f t="shared" si="8"/>
        <v/>
      </c>
      <c r="X66" s="165">
        <v>20</v>
      </c>
      <c r="Y66" s="24"/>
    </row>
    <row r="67" spans="2:25" ht="45" customHeight="1" thickBot="1" x14ac:dyDescent="0.35">
      <c r="B67" s="24"/>
      <c r="C67" s="68" t="str">
        <f>IF(OR(I67="",I67="None"),"-",IF(OR(K67="",K67="None"),E67&amp; " "&amp;"SEM-"&amp;F67&amp;" "&amp;"SKS-"&amp;G67&amp;  " "&amp;H67&amp;" "&amp;J67,E67&amp; " "&amp;"SEM-"&amp;F67&amp;" SKS-"&amp;G67&amp;" "&amp;"S"&amp;H67&amp;  " "&amp;H67&amp;" "&amp;J67&amp;"/"&amp;L67))</f>
        <v>-</v>
      </c>
      <c r="D67" s="14" t="str">
        <f>IF(J$62&gt;='TABLE SISTEM'!A$7,'TABLE MK'!A$11,"")</f>
        <v/>
      </c>
      <c r="E67" s="14" t="str">
        <f>IF(D67="","",(VLOOKUP(D67,Table1[Kode MK]:Table1[[#All],[Kode MK]:[Mata Kuliah Prasyarat]],2,)))</f>
        <v/>
      </c>
      <c r="F67" s="15" t="str">
        <f>IF(D67="","",(VLOOKUP(D67,Table1[Kode MK]:Table1[[#All],[Kode MK]:[Mata Kuliah Prasyarat]],3,)))</f>
        <v/>
      </c>
      <c r="G67" s="15" t="str">
        <f>IF(D67="","",(VLOOKUP(D67,Table1[Kode MK]:Table1[[#All],[Kode MK]:[Mata Kuliah Prasyarat]],4,)))</f>
        <v/>
      </c>
      <c r="H67" s="15" t="str">
        <f>IF(D67="","","E")</f>
        <v/>
      </c>
      <c r="I67" s="44" t="s">
        <v>105</v>
      </c>
      <c r="J67" s="17" t="str">
        <f>IF(I67="","",(VLOOKUP(I67,tbDosen[NAMA DOSEN]:tbDosen[[NAMA DOSEN]:[KODE]],2,)))</f>
        <v>-</v>
      </c>
      <c r="K67" s="39" t="s">
        <v>105</v>
      </c>
      <c r="L67" s="17" t="str">
        <f>IF(K67="","",(VLOOKUP(K67,tbDosen[NAMA DOSEN]:tbDosen[[NAMA DOSEN]:[KODE]],2,)))</f>
        <v>-</v>
      </c>
      <c r="M67" s="16" t="str">
        <f>IF(OR(I67="",I67="None"),"",IF(OR(K67="",K67="None"),I67,I67&amp;" / "&amp;K67))</f>
        <v/>
      </c>
      <c r="N67" s="16" t="str">
        <f t="shared" si="2"/>
        <v/>
      </c>
      <c r="O67" s="18" t="str">
        <f>IF(OR(I67="",I67="None"),"",IF(OR(K67="",K67="None"),G67,G67/2))</f>
        <v/>
      </c>
      <c r="P67" s="62" t="str">
        <f>IF(D67="","",(IF(AND(G67=4,U67&lt;2),"ADA",IF(AND(G67&lt;4,U67=0),"ADA","TIDAK"))))</f>
        <v/>
      </c>
      <c r="Q67" s="203" t="str">
        <f t="shared" si="3"/>
        <v/>
      </c>
      <c r="R67" s="203" t="str">
        <f t="shared" si="4"/>
        <v/>
      </c>
      <c r="S67" s="203" t="str">
        <f t="shared" si="5"/>
        <v/>
      </c>
      <c r="T67" s="203" t="str">
        <f t="shared" si="6"/>
        <v/>
      </c>
      <c r="U67" s="161">
        <v>0</v>
      </c>
      <c r="V67" s="164" t="str">
        <f t="shared" si="7"/>
        <v/>
      </c>
      <c r="W67" s="11" t="str">
        <f t="shared" si="8"/>
        <v/>
      </c>
      <c r="X67" s="165"/>
      <c r="Y67" s="24"/>
    </row>
    <row r="68" spans="2:25" ht="45" customHeight="1" thickBot="1" x14ac:dyDescent="0.35">
      <c r="B68" s="24"/>
      <c r="C68" s="67"/>
      <c r="D68" s="41" t="s">
        <v>157</v>
      </c>
      <c r="E68" s="256" t="str">
        <f>'TABLE MK'!B12</f>
        <v>Metode  Numerik*</v>
      </c>
      <c r="F68" s="256"/>
      <c r="G68" s="256"/>
      <c r="H68" s="256"/>
      <c r="I68" s="41" t="s">
        <v>95</v>
      </c>
      <c r="J68" s="40">
        <v>3</v>
      </c>
      <c r="K68" s="42"/>
      <c r="L68" s="43"/>
      <c r="M68" s="43" t="s">
        <v>161</v>
      </c>
      <c r="N68" s="45"/>
      <c r="O68" s="42"/>
      <c r="P68" s="63"/>
      <c r="Q68" s="203" t="str">
        <f t="shared" si="3"/>
        <v/>
      </c>
      <c r="R68" s="203" t="str">
        <f t="shared" si="4"/>
        <v/>
      </c>
      <c r="S68" s="203" t="str">
        <f t="shared" si="5"/>
        <v>Jumlah Kelas</v>
      </c>
      <c r="T68" s="203">
        <f t="shared" si="6"/>
        <v>0</v>
      </c>
      <c r="U68" s="161">
        <v>0</v>
      </c>
      <c r="V68" s="164" t="str">
        <f t="shared" si="7"/>
        <v/>
      </c>
      <c r="W68" s="11" t="str">
        <f t="shared" si="8"/>
        <v/>
      </c>
      <c r="X68" s="165"/>
      <c r="Y68" s="24"/>
    </row>
    <row r="69" spans="2:25" ht="45" customHeight="1" thickBot="1" x14ac:dyDescent="0.35">
      <c r="B69" s="24"/>
      <c r="C69" s="68" t="str">
        <f>IF(OR(I69="",I69="None"),"-",IF(OR(K69="",K69="None"),E69&amp; " "&amp;"SEM-"&amp;F69&amp;" "&amp;"SKS-"&amp;G69&amp;  " "&amp;H69&amp;" "&amp;J69,E69&amp; " "&amp;"SEM-"&amp;F69&amp;" SKS-"&amp;G69&amp;" "&amp;"S"&amp;H69&amp;  " "&amp;H69&amp;" "&amp;J69&amp;"/"&amp;L69))</f>
        <v>Metode  Numerik* SEM-3 SKS-3 A HSP</v>
      </c>
      <c r="D69" s="14" t="str">
        <f>IF(J$68&gt;='TABLE SISTEM'!A$3,'TABLE MK'!A$12,"")</f>
        <v>INF-55201-204</v>
      </c>
      <c r="E69" s="14" t="str">
        <f>IF(D69="","",(VLOOKUP(D69,Table1[Kode MK]:Table1[[#All],[Kode MK]:[Mata Kuliah Prasyarat]],2,)))</f>
        <v>Metode  Numerik*</v>
      </c>
      <c r="F69" s="15">
        <f>IF(D69="","",(VLOOKUP(D69,Table1[Kode MK]:Table1[[#All],[Kode MK]:[Mata Kuliah Prasyarat]],3,)))</f>
        <v>3</v>
      </c>
      <c r="G69" s="15">
        <f>IF(D69="","",(VLOOKUP(D69,Table1[Kode MK]:Table1[[#All],[Kode MK]:[Mata Kuliah Prasyarat]],4,)))</f>
        <v>3</v>
      </c>
      <c r="H69" s="15" t="str">
        <f>IF(D69="","","A")</f>
        <v>A</v>
      </c>
      <c r="I69" s="39" t="s">
        <v>128</v>
      </c>
      <c r="J69" s="17" t="str">
        <f>IF(I69="","",(VLOOKUP(I69,tbDosen[NAMA DOSEN]:tbDosen[[NAMA DOSEN]:[KODE]],2,)))</f>
        <v>HSP</v>
      </c>
      <c r="K69" s="39" t="s">
        <v>105</v>
      </c>
      <c r="L69" s="17" t="str">
        <f>IF(K69="","",(VLOOKUP(K69,tbDosen[NAMA DOSEN]:tbDosen[[NAMA DOSEN]:[KODE]],2,)))</f>
        <v>-</v>
      </c>
      <c r="M69" s="16" t="str">
        <f>IF(OR(I69="",I69="None"),"",IF(OR(K69="",K69="None"),I69,I69&amp;" / "&amp;K69))</f>
        <v>Helen Sastypratiwi, S.T., M.Eng</v>
      </c>
      <c r="N69" s="16" t="str">
        <f t="shared" si="2"/>
        <v>HSP</v>
      </c>
      <c r="O69" s="18">
        <f>IF(OR(I69="",I69="None"),"",IF(OR(K69="",K69="None"),G69,G69/2))</f>
        <v>3</v>
      </c>
      <c r="P69" s="60" t="str">
        <f>IF(D69="","",(IF(AND(G69=4,U69&lt;2),"ADA",IF(AND(G69&lt;4,U69=0),"ADA","TIDAK"))))</f>
        <v>TIDAK</v>
      </c>
      <c r="Q69" s="203" t="str">
        <f t="shared" si="3"/>
        <v/>
      </c>
      <c r="R69" s="203" t="str">
        <f t="shared" si="4"/>
        <v/>
      </c>
      <c r="S69" s="203" t="str">
        <f t="shared" si="5"/>
        <v/>
      </c>
      <c r="T69" s="203" t="str">
        <f t="shared" si="6"/>
        <v/>
      </c>
      <c r="U69" s="161">
        <v>1</v>
      </c>
      <c r="V69" s="164" t="str">
        <f t="shared" si="7"/>
        <v>PAS</v>
      </c>
      <c r="W69" s="11" t="str">
        <f t="shared" si="8"/>
        <v/>
      </c>
      <c r="X69" s="165">
        <v>25</v>
      </c>
      <c r="Y69" s="24"/>
    </row>
    <row r="70" spans="2:25" ht="45" customHeight="1" thickBot="1" x14ac:dyDescent="0.35">
      <c r="B70" s="24"/>
      <c r="C70" s="68" t="str">
        <f>IF(OR(I70="",I70="None"),"-",IF(OR(K70="",K70="None"),E70&amp; " "&amp;"SEM-"&amp;F70&amp;" "&amp;"SKS-"&amp;G70&amp;  " "&amp;H70&amp;" "&amp;J70,E70&amp; " "&amp;"SEM-"&amp;F70&amp;" SKS-"&amp;G70&amp;" "&amp;"S"&amp;H70&amp;  " "&amp;H70&amp;" "&amp;J70&amp;"/"&amp;L70))</f>
        <v>Metode  Numerik* SEM-3 SKS-3 B HSP</v>
      </c>
      <c r="D70" s="14" t="str">
        <f>IF(J$68&gt;='TABLE SISTEM'!A$4,'TABLE MK'!A$12,"")</f>
        <v>INF-55201-204</v>
      </c>
      <c r="E70" s="14" t="str">
        <f>IF(D70="","",(VLOOKUP(D70,Table1[Kode MK]:Table1[[#All],[Kode MK]:[Mata Kuliah Prasyarat]],2,)))</f>
        <v>Metode  Numerik*</v>
      </c>
      <c r="F70" s="15">
        <f>IF(D70="","",(VLOOKUP(D70,Table1[Kode MK]:Table1[[#All],[Kode MK]:[Mata Kuliah Prasyarat]],3,)))</f>
        <v>3</v>
      </c>
      <c r="G70" s="15">
        <f>IF(D70="","",(VLOOKUP(D70,Table1[Kode MK]:Table1[[#All],[Kode MK]:[Mata Kuliah Prasyarat]],4,)))</f>
        <v>3</v>
      </c>
      <c r="H70" s="15" t="str">
        <f>IF(D70="","","B")</f>
        <v>B</v>
      </c>
      <c r="I70" s="21" t="s">
        <v>128</v>
      </c>
      <c r="J70" s="17" t="str">
        <f>IF(I70="","",(VLOOKUP(I70,tbDosen[NAMA DOSEN]:tbDosen[[NAMA DOSEN]:[KODE]],2,)))</f>
        <v>HSP</v>
      </c>
      <c r="K70" s="39" t="s">
        <v>105</v>
      </c>
      <c r="L70" s="17" t="str">
        <f>IF(K70="","",(VLOOKUP(K70,tbDosen[NAMA DOSEN]:tbDosen[[NAMA DOSEN]:[KODE]],2,)))</f>
        <v>-</v>
      </c>
      <c r="M70" s="16" t="str">
        <f>IF(OR(I70="",I70="None"),"",IF(OR(K70="",K70="None"),I70,I70&amp;" / "&amp;K70))</f>
        <v>Helen Sastypratiwi, S.T., M.Eng</v>
      </c>
      <c r="N70" s="16" t="str">
        <f t="shared" si="2"/>
        <v>HSP</v>
      </c>
      <c r="O70" s="18">
        <f>IF(OR(I70="",I70="None"),"",IF(OR(K70="",K70="None"),G70,G70/2))</f>
        <v>3</v>
      </c>
      <c r="P70" s="61" t="str">
        <f>IF(D70="","",(IF(AND(G70=4,U70&lt;2),"ADA",IF(AND(G70&lt;4,U70=0),"ADA","TIDAK"))))</f>
        <v>TIDAK</v>
      </c>
      <c r="Q70" s="203" t="str">
        <f t="shared" si="3"/>
        <v/>
      </c>
      <c r="R70" s="203" t="str">
        <f t="shared" si="4"/>
        <v/>
      </c>
      <c r="S70" s="203" t="str">
        <f t="shared" si="5"/>
        <v/>
      </c>
      <c r="T70" s="203" t="str">
        <f t="shared" si="6"/>
        <v/>
      </c>
      <c r="U70" s="161">
        <v>1</v>
      </c>
      <c r="V70" s="164" t="str">
        <f t="shared" si="7"/>
        <v>PAS</v>
      </c>
      <c r="W70" s="11" t="str">
        <f t="shared" si="8"/>
        <v/>
      </c>
      <c r="X70" s="165">
        <v>25</v>
      </c>
      <c r="Y70" s="24"/>
    </row>
    <row r="71" spans="2:25" ht="45" customHeight="1" thickBot="1" x14ac:dyDescent="0.35">
      <c r="B71" s="24"/>
      <c r="C71" s="68" t="str">
        <f>IF(OR(I71="",I71="None"),"-",IF(OR(K71="",K71="None"),E71&amp; " "&amp;"SEM-"&amp;F71&amp;" "&amp;"SKS-"&amp;G71&amp;  " "&amp;H71&amp;" "&amp;J71,E71&amp; " "&amp;"SEM-"&amp;F71&amp;" SKS-"&amp;G71&amp;" "&amp;"S"&amp;H71&amp;  " "&amp;H71&amp;" "&amp;J71&amp;"/"&amp;L71))</f>
        <v>Metode  Numerik* SEM-3 SKS-3 C HSP</v>
      </c>
      <c r="D71" s="14" t="str">
        <f>IF(J$68&gt;='TABLE SISTEM'!A$5,'TABLE MK'!A$12,"")</f>
        <v>INF-55201-204</v>
      </c>
      <c r="E71" s="14" t="str">
        <f>IF(D71="","",(VLOOKUP(D71,Table1[Kode MK]:Table1[[#All],[Kode MK]:[Mata Kuliah Prasyarat]],2,)))</f>
        <v>Metode  Numerik*</v>
      </c>
      <c r="F71" s="15">
        <f>IF(D71="","",(VLOOKUP(D71,Table1[Kode MK]:Table1[[#All],[Kode MK]:[Mata Kuliah Prasyarat]],3,)))</f>
        <v>3</v>
      </c>
      <c r="G71" s="15">
        <f>IF(D71="","",(VLOOKUP(D71,Table1[Kode MK]:Table1[[#All],[Kode MK]:[Mata Kuliah Prasyarat]],4,)))</f>
        <v>3</v>
      </c>
      <c r="H71" s="15" t="str">
        <f>IF(D71="","","C")</f>
        <v>C</v>
      </c>
      <c r="I71" s="21" t="s">
        <v>128</v>
      </c>
      <c r="J71" s="17" t="str">
        <f>IF(I71="","",(VLOOKUP(I71,tbDosen[NAMA DOSEN]:tbDosen[[NAMA DOSEN]:[KODE]],2,)))</f>
        <v>HSP</v>
      </c>
      <c r="K71" s="39" t="s">
        <v>105</v>
      </c>
      <c r="L71" s="17" t="str">
        <f>IF(K71="","",(VLOOKUP(K71,tbDosen[NAMA DOSEN]:tbDosen[[NAMA DOSEN]:[KODE]],2,)))</f>
        <v>-</v>
      </c>
      <c r="M71" s="16" t="str">
        <f>IF(OR(I71="",I71="None"),"",IF(OR(K71="",K71="None"),I71,I71&amp;" / "&amp;K71))</f>
        <v>Helen Sastypratiwi, S.T., M.Eng</v>
      </c>
      <c r="N71" s="16" t="str">
        <f t="shared" si="2"/>
        <v>HSP</v>
      </c>
      <c r="O71" s="18">
        <f>IF(OR(I71="",I71="None"),"",IF(OR(K71="",K71="None"),G71,G71/2))</f>
        <v>3</v>
      </c>
      <c r="P71" s="61" t="str">
        <f>IF(D71="","",(IF(AND(G71=4,U71&lt;2),"ADA",IF(AND(G71&lt;4,U71=0),"ADA","TIDAK"))))</f>
        <v>TIDAK</v>
      </c>
      <c r="Q71" s="203" t="str">
        <f t="shared" si="3"/>
        <v/>
      </c>
      <c r="R71" s="203" t="str">
        <f t="shared" si="4"/>
        <v/>
      </c>
      <c r="S71" s="203" t="str">
        <f t="shared" si="5"/>
        <v/>
      </c>
      <c r="T71" s="203" t="str">
        <f t="shared" si="6"/>
        <v/>
      </c>
      <c r="U71" s="161">
        <v>1</v>
      </c>
      <c r="V71" s="164" t="str">
        <f t="shared" si="7"/>
        <v>PAS</v>
      </c>
      <c r="W71" s="11" t="str">
        <f t="shared" si="8"/>
        <v/>
      </c>
      <c r="X71" s="165">
        <v>25</v>
      </c>
      <c r="Y71" s="24"/>
    </row>
    <row r="72" spans="2:25" ht="45" customHeight="1" thickBot="1" x14ac:dyDescent="0.35">
      <c r="B72" s="24"/>
      <c r="C72" s="68" t="str">
        <f>IF(OR(I72="",I72="None"),"-",IF(OR(K72="",K72="None"),E72&amp; " "&amp;"SEM-"&amp;F72&amp;" "&amp;"SKS-"&amp;G72&amp;  " "&amp;H72&amp;" "&amp;J72,E72&amp; " "&amp;"SEM-"&amp;F72&amp;" SKS-"&amp;G72&amp;" "&amp;"S"&amp;H72&amp;  " "&amp;H72&amp;" "&amp;J72&amp;"/"&amp;L72))</f>
        <v>-</v>
      </c>
      <c r="D72" s="14" t="str">
        <f>IF(J$68&gt;='TABLE SISTEM'!A$6,'TABLE MK'!A$12,"")</f>
        <v/>
      </c>
      <c r="E72" s="14" t="str">
        <f>IF(D72="","",(VLOOKUP(D72,Table1[Kode MK]:Table1[[#All],[Kode MK]:[Mata Kuliah Prasyarat]],2,)))</f>
        <v/>
      </c>
      <c r="F72" s="15" t="str">
        <f>IF(D72="","",(VLOOKUP(D72,Table1[Kode MK]:Table1[[#All],[Kode MK]:[Mata Kuliah Prasyarat]],3,)))</f>
        <v/>
      </c>
      <c r="G72" s="15" t="str">
        <f>IF(D72="","",(VLOOKUP(D72,Table1[Kode MK]:Table1[[#All],[Kode MK]:[Mata Kuliah Prasyarat]],4,)))</f>
        <v/>
      </c>
      <c r="H72" s="15" t="str">
        <f>IF(D72="","","D")</f>
        <v/>
      </c>
      <c r="I72" s="44" t="s">
        <v>105</v>
      </c>
      <c r="J72" s="17" t="str">
        <f>IF(I72="","",(VLOOKUP(I72,tbDosen[NAMA DOSEN]:tbDosen[[NAMA DOSEN]:[KODE]],2,)))</f>
        <v>-</v>
      </c>
      <c r="K72" s="39" t="s">
        <v>105</v>
      </c>
      <c r="L72" s="17" t="str">
        <f>IF(K72="","",(VLOOKUP(K72,tbDosen[NAMA DOSEN]:tbDosen[[NAMA DOSEN]:[KODE]],2,)))</f>
        <v>-</v>
      </c>
      <c r="M72" s="16" t="str">
        <f>IF(OR(I72="",I72="None"),"",IF(OR(K72="",K72="None"),I72,I72&amp;" / "&amp;K72))</f>
        <v/>
      </c>
      <c r="N72" s="16" t="str">
        <f t="shared" si="2"/>
        <v/>
      </c>
      <c r="O72" s="18" t="str">
        <f>IF(OR(I72="",I72="None"),"",IF(OR(K72="",K72="None"),G72,G72/2))</f>
        <v/>
      </c>
      <c r="P72" s="61" t="str">
        <f>IF(D72="","",(IF(AND(G72=4,U72&lt;2),"ADA",IF(AND(G72&lt;4,U72=0),"ADA","TIDAK"))))</f>
        <v/>
      </c>
      <c r="Q72" s="203" t="str">
        <f t="shared" si="3"/>
        <v/>
      </c>
      <c r="R72" s="203" t="str">
        <f t="shared" si="4"/>
        <v/>
      </c>
      <c r="S72" s="203" t="str">
        <f t="shared" si="5"/>
        <v/>
      </c>
      <c r="T72" s="203" t="str">
        <f t="shared" si="6"/>
        <v/>
      </c>
      <c r="U72" s="161">
        <v>0</v>
      </c>
      <c r="V72" s="164" t="str">
        <f t="shared" si="7"/>
        <v/>
      </c>
      <c r="W72" s="11" t="str">
        <f t="shared" si="8"/>
        <v/>
      </c>
      <c r="X72" s="165"/>
      <c r="Y72" s="24"/>
    </row>
    <row r="73" spans="2:25" ht="45" customHeight="1" thickBot="1" x14ac:dyDescent="0.35">
      <c r="B73" s="24"/>
      <c r="C73" s="68" t="str">
        <f>IF(OR(I73="",I73="None"),"-",IF(OR(K73="",K73="None"),E73&amp; " "&amp;"SEM-"&amp;F73&amp;" "&amp;"SKS-"&amp;G73&amp;  " "&amp;H73&amp;" "&amp;J73,E73&amp; " "&amp;"SEM-"&amp;F73&amp;" SKS-"&amp;G73&amp;" "&amp;"S"&amp;H73&amp;  " "&amp;H73&amp;" "&amp;J73&amp;"/"&amp;L73))</f>
        <v>-</v>
      </c>
      <c r="D73" s="14" t="str">
        <f>IF(J$68&gt;='TABLE SISTEM'!A$7,'TABLE MK'!A$12,"")</f>
        <v/>
      </c>
      <c r="E73" s="14" t="str">
        <f>IF(D73="","",(VLOOKUP(D73,Table1[Kode MK]:Table1[[#All],[Kode MK]:[Mata Kuliah Prasyarat]],2,)))</f>
        <v/>
      </c>
      <c r="F73" s="15" t="str">
        <f>IF(D73="","",(VLOOKUP(D73,Table1[Kode MK]:Table1[[#All],[Kode MK]:[Mata Kuliah Prasyarat]],3,)))</f>
        <v/>
      </c>
      <c r="G73" s="15" t="str">
        <f>IF(D73="","",(VLOOKUP(D73,Table1[Kode MK]:Table1[[#All],[Kode MK]:[Mata Kuliah Prasyarat]],4,)))</f>
        <v/>
      </c>
      <c r="H73" s="15" t="str">
        <f>IF(D73="","","E")</f>
        <v/>
      </c>
      <c r="I73" s="44" t="s">
        <v>105</v>
      </c>
      <c r="J73" s="17" t="str">
        <f>IF(I73="","",(VLOOKUP(I73,tbDosen[NAMA DOSEN]:tbDosen[[NAMA DOSEN]:[KODE]],2,)))</f>
        <v>-</v>
      </c>
      <c r="K73" s="39" t="s">
        <v>105</v>
      </c>
      <c r="L73" s="17" t="str">
        <f>IF(K73="","",(VLOOKUP(K73,tbDosen[NAMA DOSEN]:tbDosen[[NAMA DOSEN]:[KODE]],2,)))</f>
        <v>-</v>
      </c>
      <c r="M73" s="16" t="str">
        <f>IF(OR(I73="",I73="None"),"",IF(OR(K73="",K73="None"),I73,I73&amp;" / "&amp;K73))</f>
        <v/>
      </c>
      <c r="N73" s="16" t="str">
        <f t="shared" si="2"/>
        <v/>
      </c>
      <c r="O73" s="18" t="str">
        <f>IF(OR(I73="",I73="None"),"",IF(OR(K73="",K73="None"),G73,G73/2))</f>
        <v/>
      </c>
      <c r="P73" s="62" t="str">
        <f>IF(D73="","",(IF(AND(G73=4,U73&lt;2),"ADA",IF(AND(G73&lt;4,U73=0),"ADA","TIDAK"))))</f>
        <v/>
      </c>
      <c r="Q73" s="203" t="str">
        <f t="shared" si="3"/>
        <v/>
      </c>
      <c r="R73" s="203" t="str">
        <f t="shared" si="4"/>
        <v/>
      </c>
      <c r="S73" s="203" t="str">
        <f t="shared" si="5"/>
        <v/>
      </c>
      <c r="T73" s="203" t="str">
        <f t="shared" si="6"/>
        <v/>
      </c>
      <c r="U73" s="161">
        <v>0</v>
      </c>
      <c r="V73" s="164" t="str">
        <f t="shared" ref="V73:V104" si="9">IF(G73="","",IF(OR(G73=2,G73=3),IF((U73&lt;1),"KURANG",IF(U73&gt;1,"LEBIH","PAS")),IF(G73=4,IF(U73&lt;2,"KURANG",IF(U73&gt;2,"LEBIH","PAS")))))</f>
        <v/>
      </c>
      <c r="W73" s="11" t="str">
        <f t="shared" ref="W73:W104" si="10">IF(P73="ADA",C73,"")</f>
        <v/>
      </c>
      <c r="X73" s="165"/>
      <c r="Y73" s="24"/>
    </row>
    <row r="74" spans="2:25" ht="45" customHeight="1" thickBot="1" x14ac:dyDescent="0.35">
      <c r="B74" s="24"/>
      <c r="C74" s="67"/>
      <c r="D74" s="41" t="s">
        <v>157</v>
      </c>
      <c r="E74" s="256" t="str">
        <f>'TABLE MK'!B13</f>
        <v>Jaringan  Komputer *</v>
      </c>
      <c r="F74" s="256"/>
      <c r="G74" s="256"/>
      <c r="H74" s="256"/>
      <c r="I74" s="41" t="s">
        <v>95</v>
      </c>
      <c r="J74" s="40">
        <v>3</v>
      </c>
      <c r="K74" s="42"/>
      <c r="L74" s="43"/>
      <c r="M74" s="43" t="s">
        <v>161</v>
      </c>
      <c r="N74" s="45"/>
      <c r="O74" s="42"/>
      <c r="P74" s="63"/>
      <c r="Q74" s="203" t="str">
        <f t="shared" ref="Q74:Q137" si="11">IF(G74=4,I74,"")</f>
        <v/>
      </c>
      <c r="R74" s="203" t="str">
        <f t="shared" ref="R74:R137" si="12">IF(G74=4,K74,"")</f>
        <v/>
      </c>
      <c r="S74" s="203" t="str">
        <f t="shared" ref="S74:S137" si="13">IF(AND(I74&lt;&gt;"None",K74&lt;&gt;"None"),I74,"")</f>
        <v>Jumlah Kelas</v>
      </c>
      <c r="T74" s="203">
        <f t="shared" ref="T74:T137" si="14">IF(AND(I74&lt;&gt;"None",K74&lt;&gt;"None"),K74,"")</f>
        <v>0</v>
      </c>
      <c r="U74" s="161">
        <v>0</v>
      </c>
      <c r="V74" s="164" t="str">
        <f t="shared" si="9"/>
        <v/>
      </c>
      <c r="W74" s="11" t="str">
        <f t="shared" si="10"/>
        <v/>
      </c>
      <c r="X74" s="165"/>
      <c r="Y74" s="24"/>
    </row>
    <row r="75" spans="2:25" ht="45" customHeight="1" thickBot="1" x14ac:dyDescent="0.35">
      <c r="B75" s="24"/>
      <c r="C75" s="68" t="str">
        <f>IF(OR(I75="",I75="None"),"-",IF(OR(K75="",K75="None"),E75&amp; " "&amp;"SEM-"&amp;F75&amp;" "&amp;"SKS-"&amp;G75&amp;  " "&amp;H75&amp;" "&amp;J75,E75&amp; " "&amp;"SEM-"&amp;F75&amp;" SKS-"&amp;G75&amp;" "&amp;"S"&amp;H75&amp;  " "&amp;H75&amp;" "&amp;J75&amp;"/"&amp;L75))</f>
        <v>Jaringan  Komputer * SEM-3 SKS-4 SA A AI/HN</v>
      </c>
      <c r="D75" s="14" t="str">
        <f>IF(J$74&gt;='TABLE SISTEM'!A$3,'TABLE MK'!A$13,"")</f>
        <v>INF-55201-205</v>
      </c>
      <c r="E75" s="14" t="str">
        <f>IF(D75="","",(VLOOKUP(D75,Table1[Kode MK]:Table1[[#All],[Kode MK]:[Mata Kuliah Prasyarat]],2,)))</f>
        <v>Jaringan  Komputer *</v>
      </c>
      <c r="F75" s="15">
        <f>IF(D75="","",(VLOOKUP(D75,Table1[Kode MK]:Table1[[#All],[Kode MK]:[Mata Kuliah Prasyarat]],3,)))</f>
        <v>3</v>
      </c>
      <c r="G75" s="15">
        <f>IF(D75="","",(VLOOKUP(D75,Table1[Kode MK]:Table1[[#All],[Kode MK]:[Mata Kuliah Prasyarat]],4,)))</f>
        <v>4</v>
      </c>
      <c r="H75" s="15" t="str">
        <f>IF(D75="","","A")</f>
        <v>A</v>
      </c>
      <c r="I75" s="39" t="s">
        <v>134</v>
      </c>
      <c r="J75" s="17" t="str">
        <f>IF(I75="","",(VLOOKUP(I75,tbDosen[NAMA DOSEN]:tbDosen[[NAMA DOSEN]:[KODE]],2,)))</f>
        <v>AI</v>
      </c>
      <c r="K75" s="39" t="s">
        <v>396</v>
      </c>
      <c r="L75" s="17" t="str">
        <f>IF(K75="","",(VLOOKUP(K75,tbDosen[NAMA DOSEN]:tbDosen[[NAMA DOSEN]:[KODE]],2,)))</f>
        <v>HN</v>
      </c>
      <c r="M75" s="16" t="str">
        <f>IF(OR(I75="",I75="None"),"",IF(OR(K75="",K75="None"),I75,I75&amp;" / "&amp;K75))</f>
        <v>M.Azhar Irwansyah, S.T.,M.Eng. / Haried Novriando, S.Kom, M.Eng</v>
      </c>
      <c r="N75" s="16" t="str">
        <f t="shared" ref="N75:N137" si="15">IF(AND(J75&lt;&gt;"-",L75&lt;&gt;"-"),J75&amp;" / "&amp;L75,IF(AND(J75&lt;&gt;"-",L75="-"),J75,""))</f>
        <v>AI / HN</v>
      </c>
      <c r="O75" s="18">
        <f>IF(OR(I75="",I75="None"),"",IF(OR(K75="",K75="None"),G75,G75/2))</f>
        <v>2</v>
      </c>
      <c r="P75" s="60" t="str">
        <f>IF(D75="","",(IF(AND(G75=4,U75&lt;2),"ADA",IF(AND(G75&lt;4,U75=0),"ADA","TIDAK"))))</f>
        <v>TIDAK</v>
      </c>
      <c r="Q75" s="203" t="str">
        <f t="shared" si="11"/>
        <v>M.Azhar Irwansyah, S.T.,M.Eng.</v>
      </c>
      <c r="R75" s="203" t="str">
        <f t="shared" si="12"/>
        <v>Haried Novriando, S.Kom, M.Eng</v>
      </c>
      <c r="S75" s="203" t="str">
        <f t="shared" si="13"/>
        <v>M.Azhar Irwansyah, S.T.,M.Eng.</v>
      </c>
      <c r="T75" s="203" t="str">
        <f t="shared" si="14"/>
        <v>Haried Novriando, S.Kom, M.Eng</v>
      </c>
      <c r="U75" s="161">
        <v>2</v>
      </c>
      <c r="V75" s="164" t="str">
        <f t="shared" si="9"/>
        <v>PAS</v>
      </c>
      <c r="W75" s="11" t="str">
        <f t="shared" si="10"/>
        <v/>
      </c>
      <c r="X75" s="165">
        <v>25</v>
      </c>
      <c r="Y75" s="24"/>
    </row>
    <row r="76" spans="2:25" ht="45" customHeight="1" thickBot="1" x14ac:dyDescent="0.35">
      <c r="B76" s="24"/>
      <c r="C76" s="68" t="str">
        <f>IF(OR(I76="",I76="None"),"-",IF(OR(K76="",K76="None"),E76&amp; " "&amp;"SEM-"&amp;F76&amp;" "&amp;"SKS-"&amp;G76&amp;  " "&amp;H76&amp;" "&amp;J76,E76&amp; " "&amp;"SEM-"&amp;F76&amp;" SKS-"&amp;G76&amp;" "&amp;"S"&amp;H76&amp;  " "&amp;H76&amp;" "&amp;J76&amp;"/"&amp;L76))</f>
        <v>Jaringan  Komputer * SEM-3 SKS-4 SB B AI/AAJ</v>
      </c>
      <c r="D76" s="14" t="str">
        <f>IF(J$74&gt;='TABLE SISTEM'!A$4,'TABLE MK'!A$13,"")</f>
        <v>INF-55201-205</v>
      </c>
      <c r="E76" s="14" t="str">
        <f>IF(D76="","",(VLOOKUP(D76,Table1[Kode MK]:Table1[[#All],[Kode MK]:[Mata Kuliah Prasyarat]],2,)))</f>
        <v>Jaringan  Komputer *</v>
      </c>
      <c r="F76" s="15">
        <f>IF(D76="","",(VLOOKUP(D76,Table1[Kode MK]:Table1[[#All],[Kode MK]:[Mata Kuliah Prasyarat]],3,)))</f>
        <v>3</v>
      </c>
      <c r="G76" s="15">
        <f>IF(D76="","",(VLOOKUP(D76,Table1[Kode MK]:Table1[[#All],[Kode MK]:[Mata Kuliah Prasyarat]],4,)))</f>
        <v>4</v>
      </c>
      <c r="H76" s="15" t="str">
        <f>IF(D76="","","B")</f>
        <v>B</v>
      </c>
      <c r="I76" s="21" t="s">
        <v>134</v>
      </c>
      <c r="J76" s="17" t="str">
        <f>IF(I76="","",(VLOOKUP(I76,tbDosen[NAMA DOSEN]:tbDosen[[NAMA DOSEN]:[KODE]],2,)))</f>
        <v>AI</v>
      </c>
      <c r="K76" s="39" t="s">
        <v>334</v>
      </c>
      <c r="L76" s="17" t="str">
        <f>IF(K76="","",(VLOOKUP(K76,tbDosen[NAMA DOSEN]:tbDosen[[NAMA DOSEN]:[KODE]],2,)))</f>
        <v>AAJ</v>
      </c>
      <c r="M76" s="16" t="str">
        <f>IF(OR(I76="",I76="None"),"",IF(OR(K76="",K76="None"),I76,I76&amp;" / "&amp;K76))</f>
        <v>M.Azhar Irwansyah, S.T.,M.Eng. / Alfian Abdul Jalid, S.Kom., M.Cs.</v>
      </c>
      <c r="N76" s="16" t="str">
        <f t="shared" si="15"/>
        <v>AI / AAJ</v>
      </c>
      <c r="O76" s="18">
        <f>IF(OR(I76="",I76="None"),"",IF(OR(K76="",K76="None"),G76,G76/2))</f>
        <v>2</v>
      </c>
      <c r="P76" s="61" t="str">
        <f>IF(D76="","",(IF(AND(G76=4,U76&lt;2),"ADA",IF(AND(G76&lt;4,U76=0),"ADA","TIDAK"))))</f>
        <v>TIDAK</v>
      </c>
      <c r="Q76" s="203" t="str">
        <f t="shared" si="11"/>
        <v>M.Azhar Irwansyah, S.T.,M.Eng.</v>
      </c>
      <c r="R76" s="203" t="str">
        <f t="shared" si="12"/>
        <v>Alfian Abdul Jalid, S.Kom., M.Cs.</v>
      </c>
      <c r="S76" s="203" t="str">
        <f t="shared" si="13"/>
        <v>M.Azhar Irwansyah, S.T.,M.Eng.</v>
      </c>
      <c r="T76" s="203" t="str">
        <f t="shared" si="14"/>
        <v>Alfian Abdul Jalid, S.Kom., M.Cs.</v>
      </c>
      <c r="U76" s="161">
        <v>2</v>
      </c>
      <c r="V76" s="164" t="str">
        <f t="shared" si="9"/>
        <v>PAS</v>
      </c>
      <c r="W76" s="11" t="str">
        <f t="shared" si="10"/>
        <v/>
      </c>
      <c r="X76" s="165">
        <v>25</v>
      </c>
      <c r="Y76" s="24"/>
    </row>
    <row r="77" spans="2:25" ht="45" customHeight="1" thickBot="1" x14ac:dyDescent="0.35">
      <c r="B77" s="24"/>
      <c r="C77" s="68" t="str">
        <f>IF(OR(I77="",I77="None"),"-",IF(OR(K77="",K77="None"),E77&amp; " "&amp;"SEM-"&amp;F77&amp;" "&amp;"SKS-"&amp;G77&amp;  " "&amp;H77&amp;" "&amp;J77,E77&amp; " "&amp;"SEM-"&amp;F77&amp;" SKS-"&amp;G77&amp;" "&amp;"S"&amp;H77&amp;  " "&amp;H77&amp;" "&amp;J77&amp;"/"&amp;L77))</f>
        <v>Jaringan  Komputer * SEM-3 SKS-4 SC C AI/HN</v>
      </c>
      <c r="D77" s="14" t="str">
        <f>IF(J$74&gt;='TABLE SISTEM'!A$5,'TABLE MK'!A$13,"")</f>
        <v>INF-55201-205</v>
      </c>
      <c r="E77" s="14" t="str">
        <f>IF(D77="","",(VLOOKUP(D77,Table1[Kode MK]:Table1[[#All],[Kode MK]:[Mata Kuliah Prasyarat]],2,)))</f>
        <v>Jaringan  Komputer *</v>
      </c>
      <c r="F77" s="15">
        <f>IF(D77="","",(VLOOKUP(D77,Table1[Kode MK]:Table1[[#All],[Kode MK]:[Mata Kuliah Prasyarat]],3,)))</f>
        <v>3</v>
      </c>
      <c r="G77" s="15">
        <f>IF(D77="","",(VLOOKUP(D77,Table1[Kode MK]:Table1[[#All],[Kode MK]:[Mata Kuliah Prasyarat]],4,)))</f>
        <v>4</v>
      </c>
      <c r="H77" s="15" t="str">
        <f>IF(D77="","","C")</f>
        <v>C</v>
      </c>
      <c r="I77" s="21" t="s">
        <v>134</v>
      </c>
      <c r="J77" s="17" t="str">
        <f>IF(I77="","",(VLOOKUP(I77,tbDosen[NAMA DOSEN]:tbDosen[[NAMA DOSEN]:[KODE]],2,)))</f>
        <v>AI</v>
      </c>
      <c r="K77" s="39" t="s">
        <v>396</v>
      </c>
      <c r="L77" s="17" t="str">
        <f>IF(K77="","",(VLOOKUP(K77,tbDosen[NAMA DOSEN]:tbDosen[[NAMA DOSEN]:[KODE]],2,)))</f>
        <v>HN</v>
      </c>
      <c r="M77" s="16" t="str">
        <f>IF(OR(I77="",I77="None"),"",IF(OR(K77="",K77="None"),I77,I77&amp;" / "&amp;K77))</f>
        <v>M.Azhar Irwansyah, S.T.,M.Eng. / Haried Novriando, S.Kom, M.Eng</v>
      </c>
      <c r="N77" s="16" t="str">
        <f t="shared" si="15"/>
        <v>AI / HN</v>
      </c>
      <c r="O77" s="18">
        <f>IF(OR(I77="",I77="None"),"",IF(OR(K77="",K77="None"),G77,G77/2))</f>
        <v>2</v>
      </c>
      <c r="P77" s="61" t="str">
        <f>IF(D77="","",(IF(AND(G77=4,U77&lt;2),"ADA",IF(AND(G77&lt;4,U77=0),"ADA","TIDAK"))))</f>
        <v>TIDAK</v>
      </c>
      <c r="Q77" s="203" t="str">
        <f t="shared" si="11"/>
        <v>M.Azhar Irwansyah, S.T.,M.Eng.</v>
      </c>
      <c r="R77" s="203" t="str">
        <f t="shared" si="12"/>
        <v>Haried Novriando, S.Kom, M.Eng</v>
      </c>
      <c r="S77" s="203" t="str">
        <f t="shared" si="13"/>
        <v>M.Azhar Irwansyah, S.T.,M.Eng.</v>
      </c>
      <c r="T77" s="203" t="str">
        <f t="shared" si="14"/>
        <v>Haried Novriando, S.Kom, M.Eng</v>
      </c>
      <c r="U77" s="161">
        <v>2</v>
      </c>
      <c r="V77" s="164" t="str">
        <f t="shared" si="9"/>
        <v>PAS</v>
      </c>
      <c r="W77" s="11" t="str">
        <f t="shared" si="10"/>
        <v/>
      </c>
      <c r="X77" s="165">
        <v>25</v>
      </c>
      <c r="Y77" s="24"/>
    </row>
    <row r="78" spans="2:25" ht="45" customHeight="1" thickBot="1" x14ac:dyDescent="0.35">
      <c r="B78" s="24"/>
      <c r="C78" s="68" t="str">
        <f>IF(OR(I78="",I78="None"),"-",IF(OR(K78="",K78="None"),E78&amp; " "&amp;"SEM-"&amp;F78&amp;" "&amp;"SKS-"&amp;G78&amp;  " "&amp;H78&amp;" "&amp;J78,E78&amp; " "&amp;"SEM-"&amp;F78&amp;" SKS-"&amp;G78&amp;" "&amp;"S"&amp;H78&amp;  " "&amp;H78&amp;" "&amp;J78&amp;"/"&amp;L78))</f>
        <v>-</v>
      </c>
      <c r="D78" s="14" t="str">
        <f>IF(J$74&gt;='TABLE SISTEM'!A$6,'TABLE MK'!A$13,"")</f>
        <v/>
      </c>
      <c r="E78" s="14" t="str">
        <f>IF(D78="","",(VLOOKUP(D78,Table1[Kode MK]:Table1[[#All],[Kode MK]:[Mata Kuliah Prasyarat]],2,)))</f>
        <v/>
      </c>
      <c r="F78" s="15" t="str">
        <f>IF(D78="","",(VLOOKUP(D78,Table1[Kode MK]:Table1[[#All],[Kode MK]:[Mata Kuliah Prasyarat]],3,)))</f>
        <v/>
      </c>
      <c r="G78" s="15" t="str">
        <f>IF(D78="","",(VLOOKUP(D78,Table1[Kode MK]:Table1[[#All],[Kode MK]:[Mata Kuliah Prasyarat]],4,)))</f>
        <v/>
      </c>
      <c r="H78" s="15" t="str">
        <f>IF(D78="","","D")</f>
        <v/>
      </c>
      <c r="I78" s="44" t="s">
        <v>105</v>
      </c>
      <c r="J78" s="17" t="str">
        <f>IF(I78="","",(VLOOKUP(I78,tbDosen[NAMA DOSEN]:tbDosen[[NAMA DOSEN]:[KODE]],2,)))</f>
        <v>-</v>
      </c>
      <c r="K78" s="44" t="s">
        <v>105</v>
      </c>
      <c r="L78" s="17" t="str">
        <f>IF(K78="","",(VLOOKUP(K78,tbDosen[NAMA DOSEN]:tbDosen[[NAMA DOSEN]:[KODE]],2,)))</f>
        <v>-</v>
      </c>
      <c r="M78" s="16" t="str">
        <f>IF(OR(I78="",I78="None"),"",IF(OR(K78="",K78="None"),I78,I78&amp;" / "&amp;K78))</f>
        <v/>
      </c>
      <c r="N78" s="16" t="str">
        <f t="shared" si="15"/>
        <v/>
      </c>
      <c r="O78" s="18" t="str">
        <f>IF(OR(I78="",I78="None"),"",IF(OR(K78="",K78="None"),G78,G78/2))</f>
        <v/>
      </c>
      <c r="P78" s="61" t="str">
        <f>IF(D78="","",(IF(AND(G78=4,U78&lt;2),"ADA",IF(AND(G78&lt;4,U78=0),"ADA","TIDAK"))))</f>
        <v/>
      </c>
      <c r="Q78" s="203" t="str">
        <f t="shared" si="11"/>
        <v/>
      </c>
      <c r="R78" s="203" t="str">
        <f t="shared" si="12"/>
        <v/>
      </c>
      <c r="S78" s="203" t="str">
        <f t="shared" si="13"/>
        <v/>
      </c>
      <c r="T78" s="203" t="str">
        <f t="shared" si="14"/>
        <v/>
      </c>
      <c r="U78" s="161">
        <v>0</v>
      </c>
      <c r="V78" s="164" t="str">
        <f t="shared" si="9"/>
        <v/>
      </c>
      <c r="W78" s="11" t="str">
        <f t="shared" si="10"/>
        <v/>
      </c>
      <c r="X78" s="165"/>
      <c r="Y78" s="24"/>
    </row>
    <row r="79" spans="2:25" ht="45" customHeight="1" thickBot="1" x14ac:dyDescent="0.35">
      <c r="B79" s="24"/>
      <c r="C79" s="68" t="str">
        <f>IF(OR(I79="",I79="None"),"-",IF(OR(K79="",K79="None"),E79&amp; " "&amp;"SEM-"&amp;F79&amp;" "&amp;"SKS-"&amp;G79&amp;  " "&amp;H79&amp;" "&amp;J79,E79&amp; " "&amp;"SEM-"&amp;F79&amp;" SKS-"&amp;G79&amp;" "&amp;"S"&amp;H79&amp;  " "&amp;H79&amp;" "&amp;J79&amp;"/"&amp;L79))</f>
        <v>-</v>
      </c>
      <c r="D79" s="14" t="str">
        <f>IF(J$74&gt;='TABLE SISTEM'!A$7,'TABLE MK'!A$13,"")</f>
        <v/>
      </c>
      <c r="E79" s="14" t="str">
        <f>IF(D79="","",(VLOOKUP(D79,Table1[Kode MK]:Table1[[#All],[Kode MK]:[Mata Kuliah Prasyarat]],2,)))</f>
        <v/>
      </c>
      <c r="F79" s="15" t="str">
        <f>IF(D79="","",(VLOOKUP(D79,Table1[Kode MK]:Table1[[#All],[Kode MK]:[Mata Kuliah Prasyarat]],3,)))</f>
        <v/>
      </c>
      <c r="G79" s="15" t="str">
        <f>IF(D79="","",(VLOOKUP(D79,Table1[Kode MK]:Table1[[#All],[Kode MK]:[Mata Kuliah Prasyarat]],4,)))</f>
        <v/>
      </c>
      <c r="H79" s="15" t="str">
        <f>IF(D79="","","E")</f>
        <v/>
      </c>
      <c r="I79" s="44" t="s">
        <v>105</v>
      </c>
      <c r="J79" s="17" t="str">
        <f>IF(I79="","",(VLOOKUP(I79,tbDosen[NAMA DOSEN]:tbDosen[[NAMA DOSEN]:[KODE]],2,)))</f>
        <v>-</v>
      </c>
      <c r="K79" s="44" t="s">
        <v>105</v>
      </c>
      <c r="L79" s="17" t="str">
        <f>IF(K79="","",(VLOOKUP(K79,tbDosen[NAMA DOSEN]:tbDosen[[NAMA DOSEN]:[KODE]],2,)))</f>
        <v>-</v>
      </c>
      <c r="M79" s="16" t="str">
        <f>IF(OR(I79="",I79="None"),"",IF(OR(K79="",K79="None"),I79,I79&amp;" / "&amp;K79))</f>
        <v/>
      </c>
      <c r="N79" s="16" t="str">
        <f t="shared" si="15"/>
        <v/>
      </c>
      <c r="O79" s="18" t="str">
        <f>IF(OR(I79="",I79="None"),"",IF(OR(K79="",K79="None"),G79,G79/2))</f>
        <v/>
      </c>
      <c r="P79" s="62" t="str">
        <f>IF(D79="","",(IF(AND(G79=4,U79&lt;2),"ADA",IF(AND(G79&lt;4,U79=0),"ADA","TIDAK"))))</f>
        <v/>
      </c>
      <c r="Q79" s="203" t="str">
        <f t="shared" si="11"/>
        <v/>
      </c>
      <c r="R79" s="203" t="str">
        <f t="shared" si="12"/>
        <v/>
      </c>
      <c r="S79" s="203" t="str">
        <f t="shared" si="13"/>
        <v/>
      </c>
      <c r="T79" s="203" t="str">
        <f t="shared" si="14"/>
        <v/>
      </c>
      <c r="U79" s="161">
        <v>0</v>
      </c>
      <c r="V79" s="164" t="str">
        <f t="shared" si="9"/>
        <v/>
      </c>
      <c r="W79" s="11" t="str">
        <f t="shared" si="10"/>
        <v/>
      </c>
      <c r="X79" s="165"/>
      <c r="Y79" s="24"/>
    </row>
    <row r="80" spans="2:25" ht="45" customHeight="1" thickBot="1" x14ac:dyDescent="0.35">
      <c r="B80" s="24"/>
      <c r="C80" s="67"/>
      <c r="D80" s="41" t="s">
        <v>157</v>
      </c>
      <c r="E80" s="256" t="str">
        <f>'TABLE MK'!B14</f>
        <v>Strategi Algoritma*</v>
      </c>
      <c r="F80" s="256"/>
      <c r="G80" s="256"/>
      <c r="H80" s="256"/>
      <c r="I80" s="41" t="s">
        <v>95</v>
      </c>
      <c r="J80" s="40">
        <v>3</v>
      </c>
      <c r="K80" s="42"/>
      <c r="L80" s="43"/>
      <c r="M80" s="43" t="s">
        <v>161</v>
      </c>
      <c r="N80" s="45"/>
      <c r="O80" s="42"/>
      <c r="P80" s="63"/>
      <c r="Q80" s="203" t="str">
        <f t="shared" si="11"/>
        <v/>
      </c>
      <c r="R80" s="203" t="str">
        <f t="shared" si="12"/>
        <v/>
      </c>
      <c r="S80" s="203" t="str">
        <f t="shared" si="13"/>
        <v>Jumlah Kelas</v>
      </c>
      <c r="T80" s="203">
        <f t="shared" si="14"/>
        <v>0</v>
      </c>
      <c r="U80" s="161">
        <v>0</v>
      </c>
      <c r="V80" s="164" t="str">
        <f t="shared" si="9"/>
        <v/>
      </c>
      <c r="W80" s="11" t="str">
        <f t="shared" si="10"/>
        <v/>
      </c>
      <c r="X80" s="165"/>
      <c r="Y80" s="24"/>
    </row>
    <row r="81" spans="2:25" ht="45" customHeight="1" thickBot="1" x14ac:dyDescent="0.35">
      <c r="B81" s="24"/>
      <c r="C81" s="68" t="str">
        <f>IF(OR(I81="",I81="None"),"-",IF(OR(K81="",K81="None"),E81&amp;" "&amp;"SEM-"&amp;F81&amp;" "&amp;"SKS-"&amp;G81&amp;" "&amp;H81&amp;" "&amp;J81,E81&amp;" "&amp;"SEM-"&amp;F81&amp;" SKS-"&amp;G81&amp;" "&amp;"S"&amp;H81&amp;" "&amp;H81&amp;" "&amp;J81&amp;"/"&amp;L81))</f>
        <v>Strategi Algoritma* SEM-3 SKS-4 A ABP</v>
      </c>
      <c r="D81" s="14" t="str">
        <f>IF(J$80&gt;='TABLE SISTEM'!A$3,'TABLE MK'!A$14,"")</f>
        <v>INF-55201-206</v>
      </c>
      <c r="E81" s="14" t="str">
        <f>IF(D81="","",(VLOOKUP(D81,Table1[Kode MK]:Table1[[#All],[Kode MK]:[Mata Kuliah Prasyarat]],2,)))</f>
        <v>Strategi Algoritma*</v>
      </c>
      <c r="F81" s="15">
        <f>IF(D81="","",(VLOOKUP(D81,Table1[Kode MK]:Table1[[#All],[Kode MK]:[Mata Kuliah Prasyarat]],3,)))</f>
        <v>3</v>
      </c>
      <c r="G81" s="15">
        <f>IF(D81="","",(VLOOKUP(D81,Table1[Kode MK]:Table1[[#All],[Kode MK]:[Mata Kuliah Prasyarat]],4,)))</f>
        <v>4</v>
      </c>
      <c r="H81" s="15" t="str">
        <f>IF(D81="","","A")</f>
        <v>A</v>
      </c>
      <c r="I81" s="39" t="s">
        <v>111</v>
      </c>
      <c r="J81" s="17" t="str">
        <f>IF(I81="","",(VLOOKUP(I81,tbDosen[NAMA DOSEN]:tbDosen[[NAMA DOSEN]:[KODE]],2,)))</f>
        <v>ABP</v>
      </c>
      <c r="K81" s="39" t="s">
        <v>105</v>
      </c>
      <c r="L81" s="17" t="str">
        <f>IF(K81="","",(VLOOKUP(K81,tbDosen[NAMA DOSEN]:tbDosen[[NAMA DOSEN]:[KODE]],2,)))</f>
        <v>-</v>
      </c>
      <c r="M81" s="16" t="str">
        <f>IF(OR(I81="",I81="None"),"",IF(OR(K81="",K81="None"),I81,I81&amp;" / "&amp;K81))</f>
        <v>Dr. Arif BPN, S.T., M.T.</v>
      </c>
      <c r="N81" s="16" t="str">
        <f t="shared" si="15"/>
        <v>ABP</v>
      </c>
      <c r="O81" s="18">
        <f>IF(OR(I81="",I81="None"),"",IF(OR(K81="",K81="None"),G81,G81/2))</f>
        <v>4</v>
      </c>
      <c r="P81" s="60" t="str">
        <f>IF(D81="","",(IF(AND(G81=4,U81&lt;2),"ADA",IF(AND(G81&lt;4,U81=0),"ADA","TIDAK"))))</f>
        <v>TIDAK</v>
      </c>
      <c r="Q81" s="203" t="str">
        <f t="shared" si="11"/>
        <v>Dr. Arif BPN, S.T., M.T.</v>
      </c>
      <c r="R81" s="203" t="str">
        <f t="shared" si="12"/>
        <v>None</v>
      </c>
      <c r="S81" s="203" t="str">
        <f t="shared" si="13"/>
        <v/>
      </c>
      <c r="T81" s="203" t="str">
        <f t="shared" si="14"/>
        <v/>
      </c>
      <c r="U81" s="161">
        <v>2</v>
      </c>
      <c r="V81" s="164" t="str">
        <f t="shared" si="9"/>
        <v>PAS</v>
      </c>
      <c r="W81" s="11" t="str">
        <f t="shared" si="10"/>
        <v/>
      </c>
      <c r="X81" s="165">
        <v>25</v>
      </c>
      <c r="Y81" s="24"/>
    </row>
    <row r="82" spans="2:25" ht="45" customHeight="1" thickBot="1" x14ac:dyDescent="0.35">
      <c r="B82" s="24"/>
      <c r="C82" s="68" t="str">
        <f>IF(OR(I82="",I82="None"),"-",IF(OR(K82="",K82="None"),E82&amp;" "&amp;"SEM-"&amp;F82&amp;" "&amp;"SKS-"&amp;G82&amp;" "&amp;H82&amp;" "&amp;J82,E82&amp;" "&amp;"SEM-"&amp;F82&amp;" SKS-"&amp;G82&amp;" "&amp;"S"&amp;H82&amp;" "&amp;H82&amp;" "&amp;J82&amp;"/"&amp;L82))</f>
        <v>Strategi Algoritma* SEM-3 SKS-4 SB B TZ/FA</v>
      </c>
      <c r="D82" s="14" t="str">
        <f>IF(J$80&gt;='TABLE SISTEM'!A$4,'TABLE MK'!A$14,"")</f>
        <v>INF-55201-206</v>
      </c>
      <c r="E82" s="14" t="str">
        <f>IF(D82="","",(VLOOKUP(D82,Table1[Kode MK]:Table1[[#All],[Kode MK]:[Mata Kuliah Prasyarat]],2,)))</f>
        <v>Strategi Algoritma*</v>
      </c>
      <c r="F82" s="15">
        <f>IF(D82="","",(VLOOKUP(D82,Table1[Kode MK]:Table1[[#All],[Kode MK]:[Mata Kuliah Prasyarat]],3,)))</f>
        <v>3</v>
      </c>
      <c r="G82" s="15">
        <f>IF(D82="","",(VLOOKUP(D82,Table1[Kode MK]:Table1[[#All],[Kode MK]:[Mata Kuliah Prasyarat]],4,)))</f>
        <v>4</v>
      </c>
      <c r="H82" s="15" t="str">
        <f>IF(D82="","","B")</f>
        <v>B</v>
      </c>
      <c r="I82" s="21" t="s">
        <v>137</v>
      </c>
      <c r="J82" s="17" t="str">
        <f>IF(I82="","",(VLOOKUP(I82,tbDosen[NAMA DOSEN]:tbDosen[[NAMA DOSEN]:[KODE]],2,)))</f>
        <v>TZ</v>
      </c>
      <c r="K82" s="39" t="s">
        <v>336</v>
      </c>
      <c r="L82" s="17" t="str">
        <f>IF(K82="","",(VLOOKUP(K82,tbDosen[NAMA DOSEN]:tbDosen[[NAMA DOSEN]:[KODE]],2,)))</f>
        <v>FA</v>
      </c>
      <c r="M82" s="16" t="str">
        <f>IF(OR(I82="",I82="None"),"",IF(OR(K82="",K82="None"),I82,I82&amp;" / "&amp;K82))</f>
        <v>Morteza Muthahhari, S.Kom., M.T.I / Fauzan Asrin, S.Kom, M. Kom.</v>
      </c>
      <c r="N82" s="16" t="str">
        <f t="shared" si="15"/>
        <v>TZ / FA</v>
      </c>
      <c r="O82" s="18">
        <f>IF(OR(I82="",I82="None"),"",IF(OR(K82="",K82="None"),G82,G82/2))</f>
        <v>2</v>
      </c>
      <c r="P82" s="61" t="str">
        <f>IF(D82="","",(IF(AND(G82=4,U82&lt;2),"ADA",IF(AND(G82&lt;4,U82=0),"ADA","TIDAK"))))</f>
        <v>TIDAK</v>
      </c>
      <c r="Q82" s="203" t="str">
        <f t="shared" si="11"/>
        <v>Morteza Muthahhari, S.Kom., M.T.I</v>
      </c>
      <c r="R82" s="203" t="str">
        <f t="shared" si="12"/>
        <v>Fauzan Asrin, S.Kom, M. Kom.</v>
      </c>
      <c r="S82" s="203" t="str">
        <f t="shared" si="13"/>
        <v>Morteza Muthahhari, S.Kom., M.T.I</v>
      </c>
      <c r="T82" s="203" t="str">
        <f t="shared" si="14"/>
        <v>Fauzan Asrin, S.Kom, M. Kom.</v>
      </c>
      <c r="U82" s="161">
        <v>2</v>
      </c>
      <c r="V82" s="164" t="str">
        <f t="shared" si="9"/>
        <v>PAS</v>
      </c>
      <c r="W82" s="11" t="str">
        <f t="shared" si="10"/>
        <v/>
      </c>
      <c r="X82" s="165">
        <v>25</v>
      </c>
      <c r="Y82" s="24"/>
    </row>
    <row r="83" spans="2:25" ht="45" customHeight="1" thickBot="1" x14ac:dyDescent="0.35">
      <c r="B83" s="24"/>
      <c r="C83" s="68" t="str">
        <f>IF(OR(I83="",I83="None"),"-",IF(OR(K83="",K83="None"),E83&amp;" "&amp;"SEM-"&amp;F83&amp;" "&amp;"SKS-"&amp;G83&amp;" "&amp;H83&amp;" "&amp;J83,E83&amp;" "&amp;"SEM-"&amp;F83&amp;" SKS-"&amp;G83&amp;" "&amp;"S"&amp;H83&amp;" "&amp;H83&amp;" "&amp;J83&amp;"/"&amp;L83))</f>
        <v>Strategi Algoritma* SEM-3 SKS-4 C TZ</v>
      </c>
      <c r="D83" s="14" t="str">
        <f>IF(J$80&gt;='TABLE SISTEM'!A$5,'TABLE MK'!A$14,"")</f>
        <v>INF-55201-206</v>
      </c>
      <c r="E83" s="14" t="str">
        <f>IF(D83="","",(VLOOKUP(D83,Table1[Kode MK]:Table1[[#All],[Kode MK]:[Mata Kuliah Prasyarat]],2,)))</f>
        <v>Strategi Algoritma*</v>
      </c>
      <c r="F83" s="15">
        <f>IF(D83="","",(VLOOKUP(D83,Table1[Kode MK]:Table1[[#All],[Kode MK]:[Mata Kuliah Prasyarat]],3,)))</f>
        <v>3</v>
      </c>
      <c r="G83" s="15">
        <f>IF(D83="","",(VLOOKUP(D83,Table1[Kode MK]:Table1[[#All],[Kode MK]:[Mata Kuliah Prasyarat]],4,)))</f>
        <v>4</v>
      </c>
      <c r="H83" s="15" t="str">
        <f>IF(D83="","","C")</f>
        <v>C</v>
      </c>
      <c r="I83" s="21" t="s">
        <v>137</v>
      </c>
      <c r="J83" s="17" t="str">
        <f>IF(I83="","",(VLOOKUP(I83,tbDosen[NAMA DOSEN]:tbDosen[[NAMA DOSEN]:[KODE]],2,)))</f>
        <v>TZ</v>
      </c>
      <c r="K83" s="21" t="s">
        <v>105</v>
      </c>
      <c r="L83" s="17" t="str">
        <f>IF(K83="","",(VLOOKUP(K83,tbDosen[NAMA DOSEN]:tbDosen[[NAMA DOSEN]:[KODE]],2,)))</f>
        <v>-</v>
      </c>
      <c r="M83" s="16" t="str">
        <f>IF(OR(I83="",I83="None"),"",IF(OR(K83="",K83="None"),I83,I83&amp;" / "&amp;K83))</f>
        <v>Morteza Muthahhari, S.Kom., M.T.I</v>
      </c>
      <c r="N83" s="16" t="str">
        <f t="shared" si="15"/>
        <v>TZ</v>
      </c>
      <c r="O83" s="18">
        <f>IF(OR(I83="",I83="None"),"",IF(OR(K83="",K83="None"),G83,G83/2))</f>
        <v>4</v>
      </c>
      <c r="P83" s="61" t="str">
        <f>IF(D83="","",(IF(AND(G83=4,U83&lt;2),"ADA",IF(AND(G83&lt;4,U83=0),"ADA","TIDAK"))))</f>
        <v>TIDAK</v>
      </c>
      <c r="Q83" s="203" t="str">
        <f t="shared" si="11"/>
        <v>Morteza Muthahhari, S.Kom., M.T.I</v>
      </c>
      <c r="R83" s="203" t="str">
        <f t="shared" si="12"/>
        <v>None</v>
      </c>
      <c r="S83" s="203" t="str">
        <f t="shared" si="13"/>
        <v/>
      </c>
      <c r="T83" s="203" t="str">
        <f t="shared" si="14"/>
        <v/>
      </c>
      <c r="U83" s="161">
        <v>2</v>
      </c>
      <c r="V83" s="164" t="str">
        <f t="shared" si="9"/>
        <v>PAS</v>
      </c>
      <c r="W83" s="11" t="str">
        <f t="shared" si="10"/>
        <v/>
      </c>
      <c r="X83" s="165">
        <v>25</v>
      </c>
      <c r="Y83" s="24"/>
    </row>
    <row r="84" spans="2:25" ht="45" customHeight="1" thickBot="1" x14ac:dyDescent="0.35">
      <c r="B84" s="24"/>
      <c r="C84" s="68" t="str">
        <f>IF(OR(I84="",I84="None"),"-",IF(OR(K84="",K84="None"),E84&amp;" "&amp;"SEM-"&amp;F84&amp;" "&amp;"SKS-"&amp;G84&amp;" "&amp;H84&amp;" "&amp;J84,E84&amp;" "&amp;"SEM-"&amp;F84&amp;" SKS-"&amp;G84&amp;" "&amp;"S"&amp;H84&amp;" "&amp;H84&amp;" "&amp;J84&amp;"/"&amp;L84))</f>
        <v>-</v>
      </c>
      <c r="D84" s="14" t="str">
        <f>IF(J$80&gt;='TABLE SISTEM'!A$6,'TABLE MK'!A$14,"")</f>
        <v/>
      </c>
      <c r="E84" s="14" t="str">
        <f>IF(D84="","",(VLOOKUP(D84,Table1[Kode MK]:Table1[[#All],[Kode MK]:[Mata Kuliah Prasyarat]],2,)))</f>
        <v/>
      </c>
      <c r="F84" s="15" t="str">
        <f>IF(D84="","",(VLOOKUP(D84,Table1[Kode MK]:Table1[[#All],[Kode MK]:[Mata Kuliah Prasyarat]],3,)))</f>
        <v/>
      </c>
      <c r="G84" s="15" t="str">
        <f>IF(D84="","",(VLOOKUP(D84,Table1[Kode MK]:Table1[[#All],[Kode MK]:[Mata Kuliah Prasyarat]],4,)))</f>
        <v/>
      </c>
      <c r="H84" s="15" t="str">
        <f>IF(D84="","","D")</f>
        <v/>
      </c>
      <c r="I84" s="21" t="s">
        <v>105</v>
      </c>
      <c r="J84" s="17" t="str">
        <f>IF(I84="","",(VLOOKUP(I84,tbDosen[NAMA DOSEN]:tbDosen[[NAMA DOSEN]:[KODE]],2,)))</f>
        <v>-</v>
      </c>
      <c r="K84" s="21" t="s">
        <v>105</v>
      </c>
      <c r="L84" s="17" t="str">
        <f>IF(K84="","",(VLOOKUP(K84,tbDosen[NAMA DOSEN]:tbDosen[[NAMA DOSEN]:[KODE]],2,)))</f>
        <v>-</v>
      </c>
      <c r="M84" s="16" t="str">
        <f>IF(OR(I84="",I84="None"),"",IF(OR(K84="",K84="None"),I84,I84&amp;" / "&amp;K84))</f>
        <v/>
      </c>
      <c r="N84" s="16" t="str">
        <f t="shared" si="15"/>
        <v/>
      </c>
      <c r="O84" s="18" t="str">
        <f>IF(OR(I84="",I84="None"),"",IF(OR(K84="",K84="None"),G84,G84/2))</f>
        <v/>
      </c>
      <c r="P84" s="61" t="str">
        <f>IF(D84="","",(IF(AND(G84=4,U84&lt;2),"ADA",IF(AND(G84&lt;4,U84=0),"ADA","TIDAK"))))</f>
        <v/>
      </c>
      <c r="Q84" s="203" t="str">
        <f t="shared" si="11"/>
        <v/>
      </c>
      <c r="R84" s="203" t="str">
        <f t="shared" si="12"/>
        <v/>
      </c>
      <c r="S84" s="203" t="str">
        <f t="shared" si="13"/>
        <v/>
      </c>
      <c r="T84" s="203" t="str">
        <f t="shared" si="14"/>
        <v/>
      </c>
      <c r="U84" s="161">
        <v>0</v>
      </c>
      <c r="V84" s="164" t="str">
        <f t="shared" si="9"/>
        <v/>
      </c>
      <c r="W84" s="11" t="str">
        <f t="shared" si="10"/>
        <v/>
      </c>
      <c r="X84" s="165"/>
      <c r="Y84" s="24"/>
    </row>
    <row r="85" spans="2:25" ht="45" customHeight="1" thickBot="1" x14ac:dyDescent="0.35">
      <c r="B85" s="24"/>
      <c r="C85" s="68" t="str">
        <f>IF(OR(I85="",I85="None"),"-",IF(OR(K85="",K85="None"),E85&amp;" "&amp;"SEM-"&amp;F85&amp;" "&amp;"SKS-"&amp;G85&amp;" "&amp;H85&amp;" "&amp;J85,E85&amp;" "&amp;"SEM-"&amp;F85&amp;" SKS-"&amp;G85&amp;" "&amp;"S"&amp;H85&amp;" "&amp;H85&amp;" "&amp;J85&amp;"/"&amp;L85))</f>
        <v>-</v>
      </c>
      <c r="D85" s="14" t="str">
        <f>IF(J$80&gt;='TABLE SISTEM'!A$7,'TABLE MK'!A$14,"")</f>
        <v/>
      </c>
      <c r="E85" s="14" t="str">
        <f>IF(D85="","",(VLOOKUP(D85,Table1[Kode MK]:Table1[[#All],[Kode MK]:[Mata Kuliah Prasyarat]],2,)))</f>
        <v/>
      </c>
      <c r="F85" s="15" t="str">
        <f>IF(D85="","",(VLOOKUP(D85,Table1[Kode MK]:Table1[[#All],[Kode MK]:[Mata Kuliah Prasyarat]],3,)))</f>
        <v/>
      </c>
      <c r="G85" s="15" t="str">
        <f>IF(D85="","",(VLOOKUP(D85,Table1[Kode MK]:Table1[[#All],[Kode MK]:[Mata Kuliah Prasyarat]],4,)))</f>
        <v/>
      </c>
      <c r="H85" s="15" t="str">
        <f>IF(D85="","","E")</f>
        <v/>
      </c>
      <c r="I85" s="44" t="s">
        <v>105</v>
      </c>
      <c r="J85" s="17" t="str">
        <f>IF(I85="","",(VLOOKUP(I85,tbDosen[NAMA DOSEN]:tbDosen[[NAMA DOSEN]:[KODE]],2,)))</f>
        <v>-</v>
      </c>
      <c r="K85" s="44" t="s">
        <v>105</v>
      </c>
      <c r="L85" s="17" t="str">
        <f>IF(K85="","",(VLOOKUP(K85,tbDosen[NAMA DOSEN]:tbDosen[[NAMA DOSEN]:[KODE]],2,)))</f>
        <v>-</v>
      </c>
      <c r="M85" s="16" t="str">
        <f>IF(OR(I85="",I85="None"),"",IF(OR(K85="",K85="None"),I85,I85&amp;" / "&amp;K85))</f>
        <v/>
      </c>
      <c r="N85" s="16" t="str">
        <f t="shared" si="15"/>
        <v/>
      </c>
      <c r="O85" s="18" t="str">
        <f>IF(OR(I85="",I85="None"),"",IF(OR(K85="",K85="None"),G85,G85/2))</f>
        <v/>
      </c>
      <c r="P85" s="62" t="str">
        <f>IF(D85="","",(IF(AND(G85=4,U85&lt;2),"ADA",IF(AND(G85&lt;4,U85=0),"ADA","TIDAK"))))</f>
        <v/>
      </c>
      <c r="Q85" s="203" t="str">
        <f t="shared" si="11"/>
        <v/>
      </c>
      <c r="R85" s="203" t="str">
        <f t="shared" si="12"/>
        <v/>
      </c>
      <c r="S85" s="203" t="str">
        <f t="shared" si="13"/>
        <v/>
      </c>
      <c r="T85" s="203" t="str">
        <f t="shared" si="14"/>
        <v/>
      </c>
      <c r="U85" s="161">
        <v>0</v>
      </c>
      <c r="V85" s="164" t="str">
        <f t="shared" si="9"/>
        <v/>
      </c>
      <c r="W85" s="11" t="str">
        <f t="shared" si="10"/>
        <v/>
      </c>
      <c r="X85" s="165"/>
      <c r="Y85" s="24"/>
    </row>
    <row r="86" spans="2:25" ht="45" customHeight="1" thickBot="1" x14ac:dyDescent="0.35">
      <c r="B86" s="24"/>
      <c r="C86" s="67"/>
      <c r="D86" s="41" t="s">
        <v>157</v>
      </c>
      <c r="E86" s="256" t="str">
        <f>'TABLE MK'!B15</f>
        <v>Sistem Operasi*</v>
      </c>
      <c r="F86" s="256"/>
      <c r="G86" s="256"/>
      <c r="H86" s="256"/>
      <c r="I86" s="41" t="s">
        <v>95</v>
      </c>
      <c r="J86" s="40">
        <v>4</v>
      </c>
      <c r="K86" s="42"/>
      <c r="L86" s="43"/>
      <c r="M86" s="43" t="s">
        <v>161</v>
      </c>
      <c r="N86" s="45"/>
      <c r="O86" s="42"/>
      <c r="P86" s="63"/>
      <c r="Q86" s="203" t="str">
        <f t="shared" si="11"/>
        <v/>
      </c>
      <c r="R86" s="203" t="str">
        <f t="shared" si="12"/>
        <v/>
      </c>
      <c r="S86" s="203" t="str">
        <f t="shared" si="13"/>
        <v>Jumlah Kelas</v>
      </c>
      <c r="T86" s="203">
        <f t="shared" si="14"/>
        <v>0</v>
      </c>
      <c r="U86" s="161">
        <v>0</v>
      </c>
      <c r="V86" s="164" t="str">
        <f t="shared" si="9"/>
        <v/>
      </c>
      <c r="W86" s="11" t="str">
        <f t="shared" si="10"/>
        <v/>
      </c>
      <c r="X86" s="165"/>
      <c r="Y86" s="24"/>
    </row>
    <row r="87" spans="2:25" ht="45" customHeight="1" thickBot="1" x14ac:dyDescent="0.35">
      <c r="B87" s="24"/>
      <c r="C87" s="68" t="str">
        <f>IF(OR(I87="",I87="None"),"-",IF(OR(K87="",K87="None"),E87&amp;" "&amp;"SEM-"&amp;F87&amp;" "&amp;"SKS-"&amp;G87&amp;" "&amp;H87&amp;" "&amp;J87,E87&amp;" "&amp;"SEM-"&amp;F87&amp;" SKS-"&amp;G87&amp;" "&amp;"S"&amp;H87&amp;" "&amp;H87&amp;" "&amp;J87&amp;"/"&amp;L87))</f>
        <v>Sistem Operasi* SEM-3 SKS-3 A HLN</v>
      </c>
      <c r="D87" s="14" t="str">
        <f>IF(J$86&gt;='TABLE SISTEM'!A$3,'TABLE MK'!A$15,"")</f>
        <v>INF-55201-207</v>
      </c>
      <c r="E87" s="14" t="str">
        <f>IF(D87="","",(VLOOKUP(D87,Table1[Kode MK]:Table1[[#All],[Kode MK]:[Mata Kuliah Prasyarat]],2,)))</f>
        <v>Sistem Operasi*</v>
      </c>
      <c r="F87" s="15">
        <f>IF(D87="","",(VLOOKUP(D87,Table1[Kode MK]:Table1[[#All],[Kode MK]:[Mata Kuliah Prasyarat]],3,)))</f>
        <v>3</v>
      </c>
      <c r="G87" s="15">
        <f>IF(D87="","",(VLOOKUP(D87,Table1[Kode MK]:Table1[[#All],[Kode MK]:[Mata Kuliah Prasyarat]],4,)))</f>
        <v>3</v>
      </c>
      <c r="H87" s="15" t="str">
        <f>IF(D87="","","A")</f>
        <v>A</v>
      </c>
      <c r="I87" s="39" t="s">
        <v>130</v>
      </c>
      <c r="J87" s="17" t="str">
        <f>IF(I87="","",(VLOOKUP(I87,tbDosen[NAMA DOSEN]:tbDosen[[NAMA DOSEN]:[KODE]],2,)))</f>
        <v>HLN</v>
      </c>
      <c r="K87" s="39" t="s">
        <v>105</v>
      </c>
      <c r="L87" s="17" t="str">
        <f>IF(K87="","",(VLOOKUP(K87,tbDosen[NAMA DOSEN]:tbDosen[[NAMA DOSEN]:[KODE]],2,)))</f>
        <v>-</v>
      </c>
      <c r="M87" s="16" t="str">
        <f>IF(OR(I87="",I87="None"),"",IF(OR(K87="",K87="None"),I87,I87&amp;" / "&amp;K87))</f>
        <v>Helfi Nasution, S.Kom, M.Cs</v>
      </c>
      <c r="N87" s="16" t="str">
        <f t="shared" si="15"/>
        <v>HLN</v>
      </c>
      <c r="O87" s="18">
        <f>IF(OR(I87="",I87="None"),"",IF(OR(K87="",K87="None"),G87,G87/2))</f>
        <v>3</v>
      </c>
      <c r="P87" s="60" t="str">
        <f>IF(D87="","",(IF(AND(G87=4,U87&lt;2),"ADA",IF(AND(G87&lt;4,U87=0),"ADA","TIDAK"))))</f>
        <v>TIDAK</v>
      </c>
      <c r="Q87" s="203" t="str">
        <f t="shared" si="11"/>
        <v/>
      </c>
      <c r="R87" s="203" t="str">
        <f t="shared" si="12"/>
        <v/>
      </c>
      <c r="S87" s="203" t="str">
        <f t="shared" si="13"/>
        <v/>
      </c>
      <c r="T87" s="203" t="str">
        <f t="shared" si="14"/>
        <v/>
      </c>
      <c r="U87" s="161">
        <v>1</v>
      </c>
      <c r="V87" s="164" t="str">
        <f t="shared" si="9"/>
        <v>PAS</v>
      </c>
      <c r="W87" s="11" t="str">
        <f t="shared" si="10"/>
        <v/>
      </c>
      <c r="X87" s="165">
        <v>20</v>
      </c>
      <c r="Y87" s="24"/>
    </row>
    <row r="88" spans="2:25" ht="45" customHeight="1" thickBot="1" x14ac:dyDescent="0.35">
      <c r="B88" s="24"/>
      <c r="C88" s="68" t="str">
        <f>IF(OR(I88="",I88="None"),"-",IF(OR(K88="",K88="None"),E88&amp;" "&amp;"SEM-"&amp;F88&amp;" "&amp;"SKS-"&amp;G88&amp;" "&amp;H88&amp;" "&amp;J88,E88&amp;" "&amp;"SEM-"&amp;F88&amp;" SKS-"&amp;G88&amp;" "&amp;"S"&amp;H88&amp;" "&amp;H88&amp;" "&amp;J88&amp;"/"&amp;L88))</f>
        <v>Sistem Operasi* SEM-3 SKS-3 B NS</v>
      </c>
      <c r="D88" s="14" t="str">
        <f>IF(J$86&gt;='TABLE SISTEM'!A$4,'TABLE MK'!A$15,"")</f>
        <v>INF-55201-207</v>
      </c>
      <c r="E88" s="14" t="str">
        <f>IF(D88="","",(VLOOKUP(D88,Table1[Kode MK]:Table1[[#All],[Kode MK]:[Mata Kuliah Prasyarat]],2,)))</f>
        <v>Sistem Operasi*</v>
      </c>
      <c r="F88" s="15">
        <f>IF(D88="","",(VLOOKUP(D88,Table1[Kode MK]:Table1[[#All],[Kode MK]:[Mata Kuliah Prasyarat]],3,)))</f>
        <v>3</v>
      </c>
      <c r="G88" s="15">
        <f>IF(D88="","",(VLOOKUP(D88,Table1[Kode MK]:Table1[[#All],[Kode MK]:[Mata Kuliah Prasyarat]],4,)))</f>
        <v>3</v>
      </c>
      <c r="H88" s="15" t="str">
        <f>IF(D88="","","B")</f>
        <v>B</v>
      </c>
      <c r="I88" s="21" t="s">
        <v>139</v>
      </c>
      <c r="J88" s="17" t="str">
        <f>IF(I88="","",(VLOOKUP(I88,tbDosen[NAMA DOSEN]:tbDosen[[NAMA DOSEN]:[KODE]],2,)))</f>
        <v>NS</v>
      </c>
      <c r="K88" s="21" t="s">
        <v>105</v>
      </c>
      <c r="L88" s="17" t="str">
        <f>IF(K88="","",(VLOOKUP(K88,tbDosen[NAMA DOSEN]:tbDosen[[NAMA DOSEN]:[KODE]],2,)))</f>
        <v>-</v>
      </c>
      <c r="M88" s="16" t="str">
        <f>IF(OR(I88="",I88="None"),"",IF(OR(K88="",K88="None"),I88,I88&amp;" / "&amp;K88))</f>
        <v>Novi Safriadi, S.T., M.T.</v>
      </c>
      <c r="N88" s="16" t="str">
        <f t="shared" si="15"/>
        <v>NS</v>
      </c>
      <c r="O88" s="18">
        <f>IF(OR(I88="",I88="None"),"",IF(OR(K88="",K88="None"),G88,G88/2))</f>
        <v>3</v>
      </c>
      <c r="P88" s="61" t="str">
        <f>IF(D88="","",(IF(AND(G88=4,U88&lt;2),"ADA",IF(AND(G88&lt;4,U88=0),"ADA","TIDAK"))))</f>
        <v>TIDAK</v>
      </c>
      <c r="Q88" s="203" t="str">
        <f t="shared" si="11"/>
        <v/>
      </c>
      <c r="R88" s="203" t="str">
        <f t="shared" si="12"/>
        <v/>
      </c>
      <c r="S88" s="203" t="str">
        <f t="shared" si="13"/>
        <v/>
      </c>
      <c r="T88" s="203" t="str">
        <f t="shared" si="14"/>
        <v/>
      </c>
      <c r="U88" s="161">
        <v>1</v>
      </c>
      <c r="V88" s="164" t="str">
        <f t="shared" si="9"/>
        <v>PAS</v>
      </c>
      <c r="W88" s="11" t="str">
        <f t="shared" si="10"/>
        <v/>
      </c>
      <c r="X88" s="165">
        <v>20</v>
      </c>
      <c r="Y88" s="24"/>
    </row>
    <row r="89" spans="2:25" ht="45" customHeight="1" thickBot="1" x14ac:dyDescent="0.35">
      <c r="B89" s="24"/>
      <c r="C89" s="68" t="str">
        <f>IF(OR(I89="",I89="None"),"-",IF(OR(K89="",K89="None"),E89&amp;" "&amp;"SEM-"&amp;F89&amp;" "&amp;"SKS-"&amp;G89&amp;" "&amp;H89&amp;" "&amp;J89,E89&amp;" "&amp;"SEM-"&amp;F89&amp;" SKS-"&amp;G89&amp;" "&amp;"S"&amp;H89&amp;" "&amp;H89&amp;" "&amp;J89&amp;"/"&amp;L89))</f>
        <v>Sistem Operasi* SEM-3 SKS-3 SC C HLN/DIU</v>
      </c>
      <c r="D89" s="14" t="str">
        <f>IF(J$86&gt;='TABLE SISTEM'!A$5,'TABLE MK'!A$15,"")</f>
        <v>INF-55201-207</v>
      </c>
      <c r="E89" s="14" t="str">
        <f>IF(D89="","",(VLOOKUP(D89,Table1[Kode MK]:Table1[[#All],[Kode MK]:[Mata Kuliah Prasyarat]],2,)))</f>
        <v>Sistem Operasi*</v>
      </c>
      <c r="F89" s="15">
        <f>IF(D89="","",(VLOOKUP(D89,Table1[Kode MK]:Table1[[#All],[Kode MK]:[Mata Kuliah Prasyarat]],3,)))</f>
        <v>3</v>
      </c>
      <c r="G89" s="15">
        <f>IF(D89="","",(VLOOKUP(D89,Table1[Kode MK]:Table1[[#All],[Kode MK]:[Mata Kuliah Prasyarat]],4,)))</f>
        <v>3</v>
      </c>
      <c r="H89" s="15" t="str">
        <f>IF(D89="","","C")</f>
        <v>C</v>
      </c>
      <c r="I89" s="21" t="s">
        <v>130</v>
      </c>
      <c r="J89" s="17" t="str">
        <f>IF(I89="","",(VLOOKUP(I89,tbDosen[NAMA DOSEN]:tbDosen[[NAMA DOSEN]:[KODE]],2,)))</f>
        <v>HLN</v>
      </c>
      <c r="K89" s="39" t="s">
        <v>335</v>
      </c>
      <c r="L89" s="17" t="str">
        <f>IF(K89="","",(VLOOKUP(K89,tbDosen[NAMA DOSEN]:tbDosen[[NAMA DOSEN]:[KODE]],2,)))</f>
        <v>DIU</v>
      </c>
      <c r="M89" s="16" t="str">
        <f>IF(OR(I89="",I89="None"),"",IF(OR(K89="",K89="None"),I89,I89&amp;" / "&amp;K89))</f>
        <v>Helfi Nasution, S.Kom, M.Cs / Desepta Isna Ulumi, S.Kom, M.Kom.</v>
      </c>
      <c r="N89" s="16" t="str">
        <f t="shared" si="15"/>
        <v>HLN / DIU</v>
      </c>
      <c r="O89" s="18">
        <f>IF(OR(I89="",I89="None"),"",IF(OR(K89="",K89="None"),G89,G89/2))</f>
        <v>1.5</v>
      </c>
      <c r="P89" s="61" t="str">
        <f>IF(D89="","",(IF(AND(G89=4,U89&lt;2),"ADA",IF(AND(G89&lt;4,U89=0),"ADA","TIDAK"))))</f>
        <v>TIDAK</v>
      </c>
      <c r="Q89" s="203" t="str">
        <f t="shared" si="11"/>
        <v/>
      </c>
      <c r="R89" s="203" t="str">
        <f t="shared" si="12"/>
        <v/>
      </c>
      <c r="S89" s="203" t="str">
        <f t="shared" si="13"/>
        <v>Helfi Nasution, S.Kom, M.Cs</v>
      </c>
      <c r="T89" s="203" t="str">
        <f t="shared" si="14"/>
        <v>Desepta Isna Ulumi, S.Kom, M.Kom.</v>
      </c>
      <c r="U89" s="161">
        <v>1</v>
      </c>
      <c r="V89" s="164" t="str">
        <f t="shared" si="9"/>
        <v>PAS</v>
      </c>
      <c r="W89" s="11" t="str">
        <f t="shared" si="10"/>
        <v/>
      </c>
      <c r="X89" s="165">
        <v>20</v>
      </c>
      <c r="Y89" s="24"/>
    </row>
    <row r="90" spans="2:25" ht="45" customHeight="1" thickBot="1" x14ac:dyDescent="0.35">
      <c r="B90" s="24"/>
      <c r="C90" s="68" t="str">
        <f>IF(OR(I90="",I90="None"),"-",IF(OR(K90="",K90="None"),E90&amp;" "&amp;"SEM-"&amp;F90&amp;" "&amp;"SKS-"&amp;G90&amp;" "&amp;H90&amp;" "&amp;J90,E90&amp;" "&amp;"SEM-"&amp;F90&amp;" SKS-"&amp;G90&amp;" "&amp;"S"&amp;H90&amp;" "&amp;H90&amp;" "&amp;J90&amp;"/"&amp;L90))</f>
        <v>Sistem Operasi* SEM-3 SKS-3 SD D HLN/DIU</v>
      </c>
      <c r="D90" s="14" t="str">
        <f>IF(J$86&gt;='TABLE SISTEM'!A$6,'TABLE MK'!A$15,"")</f>
        <v>INF-55201-207</v>
      </c>
      <c r="E90" s="14" t="str">
        <f>IF(D90="","",(VLOOKUP(D90,Table1[Kode MK]:Table1[[#All],[Kode MK]:[Mata Kuliah Prasyarat]],2,)))</f>
        <v>Sistem Operasi*</v>
      </c>
      <c r="F90" s="15">
        <f>IF(D90="","",(VLOOKUP(D90,Table1[Kode MK]:Table1[[#All],[Kode MK]:[Mata Kuliah Prasyarat]],3,)))</f>
        <v>3</v>
      </c>
      <c r="G90" s="15">
        <f>IF(D90="","",(VLOOKUP(D90,Table1[Kode MK]:Table1[[#All],[Kode MK]:[Mata Kuliah Prasyarat]],4,)))</f>
        <v>3</v>
      </c>
      <c r="H90" s="15" t="str">
        <f>IF(D90="","","D")</f>
        <v>D</v>
      </c>
      <c r="I90" s="21" t="s">
        <v>130</v>
      </c>
      <c r="J90" s="17" t="str">
        <f>IF(I90="","",(VLOOKUP(I90,tbDosen[NAMA DOSEN]:tbDosen[[NAMA DOSEN]:[KODE]],2,)))</f>
        <v>HLN</v>
      </c>
      <c r="K90" s="39" t="s">
        <v>335</v>
      </c>
      <c r="L90" s="17" t="str">
        <f>IF(K90="","",(VLOOKUP(K90,tbDosen[NAMA DOSEN]:tbDosen[[NAMA DOSEN]:[KODE]],2,)))</f>
        <v>DIU</v>
      </c>
      <c r="M90" s="16" t="str">
        <f>IF(OR(I90="",I90="None"),"",IF(OR(K90="",K90="None"),I90,I90&amp;" / "&amp;K90))</f>
        <v>Helfi Nasution, S.Kom, M.Cs / Desepta Isna Ulumi, S.Kom, M.Kom.</v>
      </c>
      <c r="N90" s="16" t="str">
        <f t="shared" si="15"/>
        <v>HLN / DIU</v>
      </c>
      <c r="O90" s="18">
        <f>IF(OR(I90="",I90="None"),"",IF(OR(K90="",K90="None"),G90,G90/2))</f>
        <v>1.5</v>
      </c>
      <c r="P90" s="61" t="str">
        <f>IF(D90="","",(IF(AND(G90=4,U90&lt;2),"ADA",IF(AND(G90&lt;4,U90=0),"ADA","TIDAK"))))</f>
        <v>TIDAK</v>
      </c>
      <c r="Q90" s="203" t="str">
        <f t="shared" si="11"/>
        <v/>
      </c>
      <c r="R90" s="203" t="str">
        <f t="shared" si="12"/>
        <v/>
      </c>
      <c r="S90" s="203" t="str">
        <f t="shared" si="13"/>
        <v>Helfi Nasution, S.Kom, M.Cs</v>
      </c>
      <c r="T90" s="203" t="str">
        <f t="shared" si="14"/>
        <v>Desepta Isna Ulumi, S.Kom, M.Kom.</v>
      </c>
      <c r="U90" s="161">
        <v>1</v>
      </c>
      <c r="V90" s="164" t="str">
        <f t="shared" si="9"/>
        <v>PAS</v>
      </c>
      <c r="W90" s="11" t="str">
        <f t="shared" si="10"/>
        <v/>
      </c>
      <c r="X90" s="165">
        <v>20</v>
      </c>
      <c r="Y90" s="24"/>
    </row>
    <row r="91" spans="2:25" ht="45" customHeight="1" thickBot="1" x14ac:dyDescent="0.35">
      <c r="B91" s="24"/>
      <c r="C91" s="68" t="str">
        <f>IF(OR(I91="",I91="None"),"-",IF(OR(K91="",K91="None"),E91&amp;" "&amp;"SEM-"&amp;F91&amp;" "&amp;"SKS-"&amp;G91&amp;" "&amp;H91&amp;" "&amp;J91,E91&amp;" "&amp;"SEM-"&amp;F91&amp;" SKS-"&amp;G91&amp;" "&amp;"S"&amp;H91&amp;" "&amp;H91&amp;" "&amp;J91&amp;"/"&amp;L91))</f>
        <v>-</v>
      </c>
      <c r="D91" s="14" t="str">
        <f>IF(J$86&gt;='TABLE SISTEM'!A$7,'TABLE MK'!A$15,"")</f>
        <v/>
      </c>
      <c r="E91" s="14" t="str">
        <f>IF(D91="","",(VLOOKUP(D91,Table1[Kode MK]:Table1[[#All],[Kode MK]:[Mata Kuliah Prasyarat]],2,)))</f>
        <v/>
      </c>
      <c r="F91" s="15" t="str">
        <f>IF(D91="","",(VLOOKUP(D91,Table1[Kode MK]:Table1[[#All],[Kode MK]:[Mata Kuliah Prasyarat]],3,)))</f>
        <v/>
      </c>
      <c r="G91" s="15" t="str">
        <f>IF(D91="","",(VLOOKUP(D91,Table1[Kode MK]:Table1[[#All],[Kode MK]:[Mata Kuliah Prasyarat]],4,)))</f>
        <v/>
      </c>
      <c r="H91" s="15" t="str">
        <f>IF(D91="","","E")</f>
        <v/>
      </c>
      <c r="I91" s="44" t="s">
        <v>105</v>
      </c>
      <c r="J91" s="17" t="str">
        <f>IF(I91="","",(VLOOKUP(I91,tbDosen[NAMA DOSEN]:tbDosen[[NAMA DOSEN]:[KODE]],2,)))</f>
        <v>-</v>
      </c>
      <c r="K91" s="44" t="s">
        <v>105</v>
      </c>
      <c r="L91" s="17" t="str">
        <f>IF(K91="","",(VLOOKUP(K91,tbDosen[NAMA DOSEN]:tbDosen[[NAMA DOSEN]:[KODE]],2,)))</f>
        <v>-</v>
      </c>
      <c r="M91" s="16" t="str">
        <f>IF(OR(I91="",I91="None"),"",IF(OR(K91="",K91="None"),I91,I91&amp;" / "&amp;K91))</f>
        <v/>
      </c>
      <c r="N91" s="16" t="str">
        <f t="shared" si="15"/>
        <v/>
      </c>
      <c r="O91" s="18" t="str">
        <f>IF(OR(I91="",I91="None"),"",IF(OR(K91="",K91="None"),G91,G91/2))</f>
        <v/>
      </c>
      <c r="P91" s="62" t="str">
        <f>IF(D91="","",(IF(AND(G91=4,U91&lt;2),"ADA",IF(AND(G91&lt;4,U91=0),"ADA","TIDAK"))))</f>
        <v/>
      </c>
      <c r="Q91" s="203" t="str">
        <f t="shared" si="11"/>
        <v/>
      </c>
      <c r="R91" s="203" t="str">
        <f t="shared" si="12"/>
        <v/>
      </c>
      <c r="S91" s="203" t="str">
        <f t="shared" si="13"/>
        <v/>
      </c>
      <c r="T91" s="203" t="str">
        <f t="shared" si="14"/>
        <v/>
      </c>
      <c r="U91" s="161">
        <v>0</v>
      </c>
      <c r="V91" s="164" t="str">
        <f t="shared" si="9"/>
        <v/>
      </c>
      <c r="W91" s="11" t="str">
        <f t="shared" si="10"/>
        <v/>
      </c>
      <c r="X91" s="165"/>
      <c r="Y91" s="24"/>
    </row>
    <row r="92" spans="2:25" ht="45" customHeight="1" thickBot="1" x14ac:dyDescent="0.35">
      <c r="B92" s="24"/>
      <c r="C92" s="67"/>
      <c r="D92" s="41" t="s">
        <v>157</v>
      </c>
      <c r="E92" s="256" t="str">
        <f>'TABLE MK'!B16</f>
        <v>Interaksi  Manusia  dan  Komputer  </v>
      </c>
      <c r="F92" s="256"/>
      <c r="G92" s="256"/>
      <c r="H92" s="256"/>
      <c r="I92" s="41" t="s">
        <v>95</v>
      </c>
      <c r="J92" s="40">
        <v>3</v>
      </c>
      <c r="K92" s="42"/>
      <c r="L92" s="43"/>
      <c r="M92" s="43" t="s">
        <v>161</v>
      </c>
      <c r="N92" s="45"/>
      <c r="O92" s="42"/>
      <c r="P92" s="63"/>
      <c r="Q92" s="203" t="str">
        <f t="shared" si="11"/>
        <v/>
      </c>
      <c r="R92" s="203" t="str">
        <f t="shared" si="12"/>
        <v/>
      </c>
      <c r="S92" s="203" t="str">
        <f t="shared" si="13"/>
        <v>Jumlah Kelas</v>
      </c>
      <c r="T92" s="203">
        <f t="shared" si="14"/>
        <v>0</v>
      </c>
      <c r="U92" s="161">
        <v>0</v>
      </c>
      <c r="V92" s="164" t="str">
        <f t="shared" si="9"/>
        <v/>
      </c>
      <c r="W92" s="11" t="str">
        <f t="shared" si="10"/>
        <v/>
      </c>
      <c r="X92" s="165"/>
      <c r="Y92" s="24"/>
    </row>
    <row r="93" spans="2:25" ht="45" customHeight="1" thickBot="1" x14ac:dyDescent="0.35">
      <c r="B93" s="24"/>
      <c r="C93" s="68" t="str">
        <f>IF(OR(I93="",I93="None"),"-",IF(OR(K93="",K93="None"),E93&amp;" "&amp;"SEM-"&amp;F93&amp;" "&amp;"SKS-"&amp;G93&amp;" "&amp;H93&amp;" "&amp;J93,E93&amp;" "&amp;"SEM-"&amp;F93&amp;" SKS-"&amp;G93&amp;" "&amp;"S"&amp;H93&amp;" "&amp;H93&amp;" "&amp;J93&amp;"/"&amp;L93))</f>
        <v>Interaksi  Manusia  dan  Komputer   SEM-5 SKS-2 A AP</v>
      </c>
      <c r="D93" s="14" t="str">
        <f>IF(J$92&gt;='TABLE SISTEM'!A$3,'TABLE MK'!A$16,"")</f>
        <v>INF-55201-301</v>
      </c>
      <c r="E93" s="14" t="str">
        <f>IF(D93="","",(VLOOKUP(D93,Table1[Kode MK]:Table1[[#All],[Kode MK]:[Mata Kuliah Prasyarat]],2,)))</f>
        <v>Interaksi  Manusia  dan  Komputer  </v>
      </c>
      <c r="F93" s="15">
        <f>IF(D93="","",(VLOOKUP(D93,Table1[Kode MK]:Table1[[#All],[Kode MK]:[Mata Kuliah Prasyarat]],3,)))</f>
        <v>5</v>
      </c>
      <c r="G93" s="15">
        <f>IF(D93="","",(VLOOKUP(D93,Table1[Kode MK]:Table1[[#All],[Kode MK]:[Mata Kuliah Prasyarat]],4,)))</f>
        <v>2</v>
      </c>
      <c r="H93" s="15" t="str">
        <f>IF(D93="","","A")</f>
        <v>A</v>
      </c>
      <c r="I93" s="39" t="s">
        <v>107</v>
      </c>
      <c r="J93" s="17" t="str">
        <f>IF(I93="","",(VLOOKUP(I93,tbDosen[NAMA DOSEN]:tbDosen[[NAMA DOSEN]:[KODE]],2,)))</f>
        <v>AP</v>
      </c>
      <c r="K93" s="39" t="s">
        <v>105</v>
      </c>
      <c r="L93" s="17" t="str">
        <f>IF(K93="","",(VLOOKUP(K93,tbDosen[NAMA DOSEN]:tbDosen[[NAMA DOSEN]:[KODE]],2,)))</f>
        <v>-</v>
      </c>
      <c r="M93" s="16" t="str">
        <f>IF(OR(I93="",I93="None"),"",IF(OR(K93="",K93="None"),I93,I93&amp;" / "&amp;K93))</f>
        <v>Anggi Perwitasari, S.T., M.T.</v>
      </c>
      <c r="N93" s="16" t="str">
        <f t="shared" si="15"/>
        <v>AP</v>
      </c>
      <c r="O93" s="18">
        <f>IF(OR(I93="",I93="None"),"",IF(OR(K93="",K93="None"),G93,G93/2))</f>
        <v>2</v>
      </c>
      <c r="P93" s="60" t="str">
        <f>IF(D93="","",(IF(AND(G93=4,U93&lt;2),"ADA",IF(AND(G93&lt;4,U93=0),"ADA","TIDAK"))))</f>
        <v>TIDAK</v>
      </c>
      <c r="Q93" s="203" t="str">
        <f t="shared" si="11"/>
        <v/>
      </c>
      <c r="R93" s="203" t="str">
        <f t="shared" si="12"/>
        <v/>
      </c>
      <c r="S93" s="203" t="str">
        <f t="shared" si="13"/>
        <v/>
      </c>
      <c r="T93" s="203" t="str">
        <f t="shared" si="14"/>
        <v/>
      </c>
      <c r="U93" s="161">
        <v>1</v>
      </c>
      <c r="V93" s="164" t="str">
        <f t="shared" si="9"/>
        <v>PAS</v>
      </c>
      <c r="W93" s="11" t="str">
        <f t="shared" si="10"/>
        <v/>
      </c>
      <c r="X93" s="165">
        <v>25</v>
      </c>
      <c r="Y93" s="24"/>
    </row>
    <row r="94" spans="2:25" ht="45" customHeight="1" thickBot="1" x14ac:dyDescent="0.35">
      <c r="B94" s="24"/>
      <c r="C94" s="68" t="str">
        <f>IF(OR(I94="",I94="None"),"-",IF(OR(K94="",K94="None"),E94&amp;" "&amp;"SEM-"&amp;F94&amp;" "&amp;"SKS-"&amp;G94&amp;" "&amp;H94&amp;" "&amp;J94,E94&amp;" "&amp;"SEM-"&amp;F94&amp;" SKS-"&amp;G94&amp;" "&amp;"S"&amp;H94&amp;" "&amp;H94&amp;" "&amp;J94&amp;"/"&amp;L94))</f>
        <v>Interaksi  Manusia  dan  Komputer   SEM-5 SKS-2 B HA</v>
      </c>
      <c r="D94" s="14" t="str">
        <f>IF(J$92&gt;='TABLE SISTEM'!A$4,'TABLE MK'!A$16,"")</f>
        <v>INF-55201-301</v>
      </c>
      <c r="E94" s="14" t="str">
        <f>IF(D94="","",(VLOOKUP(D94,Table1[Kode MK]:Table1[[#All],[Kode MK]:[Mata Kuliah Prasyarat]],2,)))</f>
        <v>Interaksi  Manusia  dan  Komputer  </v>
      </c>
      <c r="F94" s="15">
        <f>IF(D94="","",(VLOOKUP(D94,Table1[Kode MK]:Table1[[#All],[Kode MK]:[Mata Kuliah Prasyarat]],3,)))</f>
        <v>5</v>
      </c>
      <c r="G94" s="15">
        <f>IF(D94="","",(VLOOKUP(D94,Table1[Kode MK]:Table1[[#All],[Kode MK]:[Mata Kuliah Prasyarat]],4,)))</f>
        <v>2</v>
      </c>
      <c r="H94" s="15" t="str">
        <f>IF(D94="","","B")</f>
        <v>B</v>
      </c>
      <c r="I94" s="21" t="s">
        <v>123</v>
      </c>
      <c r="J94" s="17" t="str">
        <f>IF(I94="","",(VLOOKUP(I94,tbDosen[NAMA DOSEN]:tbDosen[[NAMA DOSEN]:[KODE]],2,)))</f>
        <v>HA</v>
      </c>
      <c r="K94" s="21" t="s">
        <v>105</v>
      </c>
      <c r="L94" s="17" t="str">
        <f>IF(K94="","",(VLOOKUP(K94,tbDosen[NAMA DOSEN]:tbDosen[[NAMA DOSEN]:[KODE]],2,)))</f>
        <v>-</v>
      </c>
      <c r="M94" s="16" t="str">
        <f>IF(OR(I94="",I94="None"),"",IF(OR(K94="",K94="None"),I94,I94&amp;" / "&amp;K94))</f>
        <v>H. Hengky Anra, S.T., M.Kom</v>
      </c>
      <c r="N94" s="16" t="str">
        <f t="shared" si="15"/>
        <v>HA</v>
      </c>
      <c r="O94" s="18">
        <f>IF(OR(I94="",I94="None"),"",IF(OR(K94="",K94="None"),G94,G94/2))</f>
        <v>2</v>
      </c>
      <c r="P94" s="61" t="str">
        <f>IF(D94="","",(IF(AND(G94=4,U94&lt;2),"ADA",IF(AND(G94&lt;4,U94=0),"ADA","TIDAK"))))</f>
        <v>TIDAK</v>
      </c>
      <c r="Q94" s="203" t="str">
        <f t="shared" si="11"/>
        <v/>
      </c>
      <c r="R94" s="203" t="str">
        <f t="shared" si="12"/>
        <v/>
      </c>
      <c r="S94" s="203" t="str">
        <f t="shared" si="13"/>
        <v/>
      </c>
      <c r="T94" s="203" t="str">
        <f t="shared" si="14"/>
        <v/>
      </c>
      <c r="U94" s="161">
        <v>1</v>
      </c>
      <c r="V94" s="164" t="str">
        <f t="shared" si="9"/>
        <v>PAS</v>
      </c>
      <c r="W94" s="11" t="str">
        <f t="shared" si="10"/>
        <v/>
      </c>
      <c r="X94" s="165">
        <v>25</v>
      </c>
      <c r="Y94" s="24"/>
    </row>
    <row r="95" spans="2:25" ht="45" customHeight="1" thickBot="1" x14ac:dyDescent="0.35">
      <c r="B95" s="24"/>
      <c r="C95" s="68" t="str">
        <f>IF(OR(I95="",I95="None"),"-",IF(OR(K95="",K95="None"),E95&amp;" "&amp;"SEM-"&amp;F95&amp;" "&amp;"SKS-"&amp;G95&amp;" "&amp;H95&amp;" "&amp;J95,E95&amp;" "&amp;"SEM-"&amp;F95&amp;" SKS-"&amp;G95&amp;" "&amp;"S"&amp;H95&amp;" "&amp;H95&amp;" "&amp;J95&amp;"/"&amp;L95))</f>
        <v>Interaksi  Manusia  dan  Komputer   SEM-5 SKS-2 C AP</v>
      </c>
      <c r="D95" s="14" t="str">
        <f>IF(J$92&gt;='TABLE SISTEM'!A$5,'TABLE MK'!A$16,"")</f>
        <v>INF-55201-301</v>
      </c>
      <c r="E95" s="14" t="str">
        <f>IF(D95="","",(VLOOKUP(D95,Table1[Kode MK]:Table1[[#All],[Kode MK]:[Mata Kuliah Prasyarat]],2,)))</f>
        <v>Interaksi  Manusia  dan  Komputer  </v>
      </c>
      <c r="F95" s="15">
        <f>IF(D95="","",(VLOOKUP(D95,Table1[Kode MK]:Table1[[#All],[Kode MK]:[Mata Kuliah Prasyarat]],3,)))</f>
        <v>5</v>
      </c>
      <c r="G95" s="15">
        <f>IF(D95="","",(VLOOKUP(D95,Table1[Kode MK]:Table1[[#All],[Kode MK]:[Mata Kuliah Prasyarat]],4,)))</f>
        <v>2</v>
      </c>
      <c r="H95" s="15" t="str">
        <f>IF(D95="","","C")</f>
        <v>C</v>
      </c>
      <c r="I95" s="21" t="s">
        <v>107</v>
      </c>
      <c r="J95" s="17" t="str">
        <f>IF(I95="","",(VLOOKUP(I95,tbDosen[NAMA DOSEN]:tbDosen[[NAMA DOSEN]:[KODE]],2,)))</f>
        <v>AP</v>
      </c>
      <c r="K95" s="21" t="s">
        <v>105</v>
      </c>
      <c r="L95" s="17" t="str">
        <f>IF(K95="","",(VLOOKUP(K95,tbDosen[NAMA DOSEN]:tbDosen[[NAMA DOSEN]:[KODE]],2,)))</f>
        <v>-</v>
      </c>
      <c r="M95" s="16" t="str">
        <f>IF(OR(I95="",I95="None"),"",IF(OR(K95="",K95="None"),I95,I95&amp;" / "&amp;K95))</f>
        <v>Anggi Perwitasari, S.T., M.T.</v>
      </c>
      <c r="N95" s="16" t="str">
        <f t="shared" si="15"/>
        <v>AP</v>
      </c>
      <c r="O95" s="18">
        <f>IF(OR(I95="",I95="None"),"",IF(OR(K95="",K95="None"),G95,G95/2))</f>
        <v>2</v>
      </c>
      <c r="P95" s="61" t="str">
        <f>IF(D95="","",(IF(AND(G95=4,U95&lt;2),"ADA",IF(AND(G95&lt;4,U95=0),"ADA","TIDAK"))))</f>
        <v>TIDAK</v>
      </c>
      <c r="Q95" s="203" t="str">
        <f t="shared" si="11"/>
        <v/>
      </c>
      <c r="R95" s="203" t="str">
        <f t="shared" si="12"/>
        <v/>
      </c>
      <c r="S95" s="203" t="str">
        <f t="shared" si="13"/>
        <v/>
      </c>
      <c r="T95" s="203" t="str">
        <f t="shared" si="14"/>
        <v/>
      </c>
      <c r="U95" s="161">
        <v>1</v>
      </c>
      <c r="V95" s="164" t="str">
        <f t="shared" si="9"/>
        <v>PAS</v>
      </c>
      <c r="W95" s="11" t="str">
        <f t="shared" si="10"/>
        <v/>
      </c>
      <c r="X95" s="165">
        <v>25</v>
      </c>
      <c r="Y95" s="24"/>
    </row>
    <row r="96" spans="2:25" ht="45" customHeight="1" thickBot="1" x14ac:dyDescent="0.35">
      <c r="B96" s="24"/>
      <c r="C96" s="68" t="str">
        <f>IF(OR(I96="",I96="None"),"-",IF(OR(K96="",K96="None"),E96&amp;" "&amp;"SEM-"&amp;F96&amp;" "&amp;"SKS-"&amp;G96&amp;" "&amp;H96&amp;" "&amp;J96,E96&amp;" "&amp;"SEM-"&amp;F96&amp;" SKS-"&amp;G96&amp;" "&amp;"S"&amp;H96&amp;" "&amp;H96&amp;" "&amp;J96&amp;"/"&amp;L96))</f>
        <v>-</v>
      </c>
      <c r="D96" s="14" t="str">
        <f>IF(J$92&gt;='TABLE SISTEM'!A$6,'TABLE MK'!A$16,"")</f>
        <v/>
      </c>
      <c r="E96" s="14" t="str">
        <f>IF(D96="","",(VLOOKUP(D96,Table1[Kode MK]:Table1[[#All],[Kode MK]:[Mata Kuliah Prasyarat]],2,)))</f>
        <v/>
      </c>
      <c r="F96" s="15" t="str">
        <f>IF(D96="","",(VLOOKUP(D96,Table1[Kode MK]:Table1[[#All],[Kode MK]:[Mata Kuliah Prasyarat]],3,)))</f>
        <v/>
      </c>
      <c r="G96" s="15" t="str">
        <f>IF(D96="","",(VLOOKUP(D96,Table1[Kode MK]:Table1[[#All],[Kode MK]:[Mata Kuliah Prasyarat]],4,)))</f>
        <v/>
      </c>
      <c r="H96" s="15" t="str">
        <f>IF(D96="","","D")</f>
        <v/>
      </c>
      <c r="I96" s="44" t="s">
        <v>105</v>
      </c>
      <c r="J96" s="17" t="str">
        <f>IF(I96="","",(VLOOKUP(I96,tbDosen[NAMA DOSEN]:tbDosen[[NAMA DOSEN]:[KODE]],2,)))</f>
        <v>-</v>
      </c>
      <c r="K96" s="21" t="s">
        <v>105</v>
      </c>
      <c r="L96" s="17" t="str">
        <f>IF(K96="","",(VLOOKUP(K96,tbDosen[NAMA DOSEN]:tbDosen[[NAMA DOSEN]:[KODE]],2,)))</f>
        <v>-</v>
      </c>
      <c r="M96" s="16" t="str">
        <f>IF(OR(I96="",I96="None"),"",IF(OR(K96="",K96="None"),I96,I96&amp;" / "&amp;K96))</f>
        <v/>
      </c>
      <c r="N96" s="16" t="str">
        <f t="shared" si="15"/>
        <v/>
      </c>
      <c r="O96" s="18" t="str">
        <f>IF(OR(I96="",I96="None"),"",IF(OR(K96="",K96="None"),G96,G96/2))</f>
        <v/>
      </c>
      <c r="P96" s="61" t="str">
        <f>IF(D96="","",(IF(AND(G96=4,U96&lt;2),"ADA",IF(AND(G96&lt;4,U96=0),"ADA","TIDAK"))))</f>
        <v/>
      </c>
      <c r="Q96" s="203" t="str">
        <f t="shared" si="11"/>
        <v/>
      </c>
      <c r="R96" s="203" t="str">
        <f t="shared" si="12"/>
        <v/>
      </c>
      <c r="S96" s="203" t="str">
        <f t="shared" si="13"/>
        <v/>
      </c>
      <c r="T96" s="203" t="str">
        <f t="shared" si="14"/>
        <v/>
      </c>
      <c r="U96" s="161">
        <v>0</v>
      </c>
      <c r="V96" s="164" t="str">
        <f t="shared" si="9"/>
        <v/>
      </c>
      <c r="W96" s="11" t="str">
        <f t="shared" si="10"/>
        <v/>
      </c>
      <c r="X96" s="165"/>
      <c r="Y96" s="24"/>
    </row>
    <row r="97" spans="2:25" ht="45" customHeight="1" thickBot="1" x14ac:dyDescent="0.35">
      <c r="B97" s="24"/>
      <c r="C97" s="68" t="str">
        <f>IF(OR(I97="",I97="None"),"-",IF(OR(K97="",K97="None"),E97&amp;" "&amp;"SEM-"&amp;F97&amp;" "&amp;"SKS-"&amp;G97&amp;" "&amp;H97&amp;" "&amp;J97,E97&amp;" "&amp;"SEM-"&amp;F97&amp;" SKS-"&amp;G97&amp;" "&amp;"S"&amp;H97&amp;" "&amp;H97&amp;" "&amp;J97&amp;"/"&amp;L97))</f>
        <v>-</v>
      </c>
      <c r="D97" s="14" t="str">
        <f>IF(J$92&gt;='TABLE SISTEM'!A$7,'TABLE MK'!A$16,"")</f>
        <v/>
      </c>
      <c r="E97" s="14" t="str">
        <f>IF(D97="","",(VLOOKUP(D97,Table1[Kode MK]:Table1[[#All],[Kode MK]:[Mata Kuliah Prasyarat]],2,)))</f>
        <v/>
      </c>
      <c r="F97" s="15" t="str">
        <f>IF(D97="","",(VLOOKUP(D97,Table1[Kode MK]:Table1[[#All],[Kode MK]:[Mata Kuliah Prasyarat]],3,)))</f>
        <v/>
      </c>
      <c r="G97" s="15" t="str">
        <f>IF(D97="","",(VLOOKUP(D97,Table1[Kode MK]:Table1[[#All],[Kode MK]:[Mata Kuliah Prasyarat]],4,)))</f>
        <v/>
      </c>
      <c r="H97" s="15" t="str">
        <f>IF(D97="","","E")</f>
        <v/>
      </c>
      <c r="I97" s="44" t="s">
        <v>105</v>
      </c>
      <c r="J97" s="17" t="str">
        <f>IF(I97="","",(VLOOKUP(I97,tbDosen[NAMA DOSEN]:tbDosen[[NAMA DOSEN]:[KODE]],2,)))</f>
        <v>-</v>
      </c>
      <c r="K97" s="44" t="s">
        <v>105</v>
      </c>
      <c r="L97" s="17" t="str">
        <f>IF(K97="","",(VLOOKUP(K97,tbDosen[NAMA DOSEN]:tbDosen[[NAMA DOSEN]:[KODE]],2,)))</f>
        <v>-</v>
      </c>
      <c r="M97" s="16" t="str">
        <f>IF(OR(I97="",I97="None"),"",IF(OR(K97="",K97="None"),I97,I97&amp;" / "&amp;K97))</f>
        <v/>
      </c>
      <c r="N97" s="16" t="str">
        <f t="shared" si="15"/>
        <v/>
      </c>
      <c r="O97" s="18" t="str">
        <f>IF(OR(I97="",I97="None"),"",IF(OR(K97="",K97="None"),G97,G97/2))</f>
        <v/>
      </c>
      <c r="P97" s="62" t="str">
        <f>IF(D97="","",(IF(AND(G97=4,U97&lt;2),"ADA",IF(AND(G97&lt;4,U97=0),"ADA","TIDAK"))))</f>
        <v/>
      </c>
      <c r="Q97" s="203" t="str">
        <f t="shared" si="11"/>
        <v/>
      </c>
      <c r="R97" s="203" t="str">
        <f t="shared" si="12"/>
        <v/>
      </c>
      <c r="S97" s="203" t="str">
        <f t="shared" si="13"/>
        <v/>
      </c>
      <c r="T97" s="203" t="str">
        <f t="shared" si="14"/>
        <v/>
      </c>
      <c r="U97" s="161">
        <v>0</v>
      </c>
      <c r="V97" s="164" t="str">
        <f t="shared" si="9"/>
        <v/>
      </c>
      <c r="W97" s="11" t="str">
        <f t="shared" si="10"/>
        <v/>
      </c>
      <c r="X97" s="165"/>
      <c r="Y97" s="24"/>
    </row>
    <row r="98" spans="2:25" ht="45" customHeight="1" thickBot="1" x14ac:dyDescent="0.35">
      <c r="B98" s="24"/>
      <c r="C98" s="67"/>
      <c r="D98" s="41" t="s">
        <v>157</v>
      </c>
      <c r="E98" s="256" t="str">
        <f>'TABLE MK'!B17</f>
        <v>Pemrograman  Web *</v>
      </c>
      <c r="F98" s="256"/>
      <c r="G98" s="256"/>
      <c r="H98" s="256"/>
      <c r="I98" s="41" t="s">
        <v>95</v>
      </c>
      <c r="J98" s="40">
        <v>3</v>
      </c>
      <c r="K98" s="42"/>
      <c r="L98" s="43"/>
      <c r="M98" s="43" t="s">
        <v>161</v>
      </c>
      <c r="N98" s="45"/>
      <c r="O98" s="42"/>
      <c r="P98" s="63"/>
      <c r="Q98" s="203" t="str">
        <f t="shared" si="11"/>
        <v/>
      </c>
      <c r="R98" s="203" t="str">
        <f t="shared" si="12"/>
        <v/>
      </c>
      <c r="S98" s="203" t="str">
        <f t="shared" si="13"/>
        <v>Jumlah Kelas</v>
      </c>
      <c r="T98" s="203">
        <f t="shared" si="14"/>
        <v>0</v>
      </c>
      <c r="U98" s="161">
        <v>0</v>
      </c>
      <c r="V98" s="164" t="str">
        <f t="shared" si="9"/>
        <v/>
      </c>
      <c r="W98" s="11" t="str">
        <f t="shared" si="10"/>
        <v/>
      </c>
      <c r="X98" s="165"/>
      <c r="Y98" s="24"/>
    </row>
    <row r="99" spans="2:25" ht="45" customHeight="1" thickBot="1" x14ac:dyDescent="0.35">
      <c r="B99" s="24"/>
      <c r="C99" s="68" t="str">
        <f>IF(OR(I99="",I99="None"),"-",IF(OR(K99="",K99="None"),E99&amp;" "&amp;"SEM-"&amp;F99&amp;" "&amp;"SKS-"&amp;G99&amp;" "&amp;H99&amp;" "&amp;J99,E99&amp;" "&amp;"SEM-"&amp;F99&amp;" SKS-"&amp;G99&amp;" "&amp;"S"&amp;H99&amp;" "&amp;H99&amp;" "&amp;J99&amp;"/"&amp;L99))</f>
        <v>Pemrograman  Web * SEM-5 SKS-4 SA A EE/FA</v>
      </c>
      <c r="D99" s="14" t="str">
        <f>IF(J$98&gt;='TABLE SISTEM'!A$3,'TABLE MK'!A$17,"")</f>
        <v>INF-55201-302</v>
      </c>
      <c r="E99" s="14" t="str">
        <f>IF(D99="","",(VLOOKUP(D99,Table1[Kode MK]:Table1[[#All],[Kode MK]:[Mata Kuliah Prasyarat]],2,)))</f>
        <v>Pemrograman  Web *</v>
      </c>
      <c r="F99" s="15">
        <f>IF(D99="","",(VLOOKUP(D99,Table1[Kode MK]:Table1[[#All],[Kode MK]:[Mata Kuliah Prasyarat]],3,)))</f>
        <v>5</v>
      </c>
      <c r="G99" s="15">
        <f>IF(D99="","",(VLOOKUP(D99,Table1[Kode MK]:Table1[[#All],[Kode MK]:[Mata Kuliah Prasyarat]],4,)))</f>
        <v>4</v>
      </c>
      <c r="H99" s="15" t="str">
        <f>IF(D99="","","A")</f>
        <v>A</v>
      </c>
      <c r="I99" s="39" t="s">
        <v>119</v>
      </c>
      <c r="J99" s="17" t="str">
        <f>IF(I99="","",(VLOOKUP(I99,tbDosen[NAMA DOSEN]:tbDosen[[NAMA DOSEN]:[KODE]],2,)))</f>
        <v>EE</v>
      </c>
      <c r="K99" s="39" t="s">
        <v>336</v>
      </c>
      <c r="L99" s="17" t="str">
        <f>IF(K99="","",(VLOOKUP(K99,tbDosen[NAMA DOSEN]:tbDosen[[NAMA DOSEN]:[KODE]],2,)))</f>
        <v>FA</v>
      </c>
      <c r="M99" s="16" t="str">
        <f>IF(OR(I99="",I99="None"),"",IF(OR(K99="",K99="None"),I99,I99&amp;" / "&amp;K99))</f>
        <v>Enda Esyudha Pratama, S.T., M.T. / Fauzan Asrin, S.Kom, M. Kom.</v>
      </c>
      <c r="N99" s="16" t="str">
        <f t="shared" si="15"/>
        <v>EE / FA</v>
      </c>
      <c r="O99" s="18">
        <f>IF(OR(I99="",I99="None"),"",IF(OR(K99="",K99="None"),G99,G99/2))</f>
        <v>2</v>
      </c>
      <c r="P99" s="60" t="str">
        <f>IF(D99="","",(IF(AND(G99=4,U99&lt;2),"ADA",IF(AND(G99&lt;4,U99=0),"ADA","TIDAK"))))</f>
        <v>TIDAK</v>
      </c>
      <c r="Q99" s="203" t="str">
        <f t="shared" si="11"/>
        <v>Enda Esyudha Pratama, S.T., M.T.</v>
      </c>
      <c r="R99" s="203" t="str">
        <f t="shared" si="12"/>
        <v>Fauzan Asrin, S.Kom, M. Kom.</v>
      </c>
      <c r="S99" s="203" t="str">
        <f t="shared" si="13"/>
        <v>Enda Esyudha Pratama, S.T., M.T.</v>
      </c>
      <c r="T99" s="203" t="str">
        <f t="shared" si="14"/>
        <v>Fauzan Asrin, S.Kom, M. Kom.</v>
      </c>
      <c r="U99" s="161">
        <v>2</v>
      </c>
      <c r="V99" s="164" t="str">
        <f t="shared" si="9"/>
        <v>PAS</v>
      </c>
      <c r="W99" s="11" t="str">
        <f t="shared" si="10"/>
        <v/>
      </c>
      <c r="X99" s="165">
        <v>25</v>
      </c>
      <c r="Y99" s="24"/>
    </row>
    <row r="100" spans="2:25" ht="45" customHeight="1" thickBot="1" x14ac:dyDescent="0.35">
      <c r="B100" s="24"/>
      <c r="C100" s="68" t="str">
        <f>IF(OR(I100="",I100="None"),"-",IF(OR(K100="",K100="None"),E100&amp;" "&amp;"SEM-"&amp;F100&amp;" "&amp;"SKS-"&amp;G100&amp;" "&amp;H100&amp;" "&amp;J100,E100&amp;" "&amp;"SEM-"&amp;F100&amp;" SKS-"&amp;G100&amp;" "&amp;"S"&amp;H100&amp;" "&amp;H100&amp;" "&amp;J100&amp;"/"&amp;L100))</f>
        <v>Pemrograman  Web * SEM-5 SKS-4 SB B EE/FA</v>
      </c>
      <c r="D100" s="14" t="str">
        <f>IF(J$98&gt;='TABLE SISTEM'!A$4,'TABLE MK'!A$17,"")</f>
        <v>INF-55201-302</v>
      </c>
      <c r="E100" s="14" t="str">
        <f>IF(D100="","",(VLOOKUP(D100,Table1[Kode MK]:Table1[[#All],[Kode MK]:[Mata Kuliah Prasyarat]],2,)))</f>
        <v>Pemrograman  Web *</v>
      </c>
      <c r="F100" s="15">
        <f>IF(D100="","",(VLOOKUP(D100,Table1[Kode MK]:Table1[[#All],[Kode MK]:[Mata Kuliah Prasyarat]],3,)))</f>
        <v>5</v>
      </c>
      <c r="G100" s="15">
        <f>IF(D100="","",(VLOOKUP(D100,Table1[Kode MK]:Table1[[#All],[Kode MK]:[Mata Kuliah Prasyarat]],4,)))</f>
        <v>4</v>
      </c>
      <c r="H100" s="15" t="str">
        <f>IF(D100="","","B")</f>
        <v>B</v>
      </c>
      <c r="I100" s="21" t="s">
        <v>119</v>
      </c>
      <c r="J100" s="17" t="str">
        <f>IF(I100="","",(VLOOKUP(I100,tbDosen[NAMA DOSEN]:tbDosen[[NAMA DOSEN]:[KODE]],2,)))</f>
        <v>EE</v>
      </c>
      <c r="K100" s="39" t="s">
        <v>336</v>
      </c>
      <c r="L100" s="17" t="str">
        <f>IF(K100="","",(VLOOKUP(K100,tbDosen[NAMA DOSEN]:tbDosen[[NAMA DOSEN]:[KODE]],2,)))</f>
        <v>FA</v>
      </c>
      <c r="M100" s="16" t="str">
        <f>IF(OR(I100="",I100="None"),"",IF(OR(K100="",K100="None"),I100,I100&amp;" / "&amp;K100))</f>
        <v>Enda Esyudha Pratama, S.T., M.T. / Fauzan Asrin, S.Kom, M. Kom.</v>
      </c>
      <c r="N100" s="16" t="str">
        <f t="shared" si="15"/>
        <v>EE / FA</v>
      </c>
      <c r="O100" s="18">
        <f>IF(OR(I100="",I100="None"),"",IF(OR(K100="",K100="None"),G100,G100/2))</f>
        <v>2</v>
      </c>
      <c r="P100" s="61" t="str">
        <f>IF(D100="","",(IF(AND(G100=4,U100&lt;2),"ADA",IF(AND(G100&lt;4,U100=0),"ADA","TIDAK"))))</f>
        <v>TIDAK</v>
      </c>
      <c r="Q100" s="203" t="str">
        <f t="shared" si="11"/>
        <v>Enda Esyudha Pratama, S.T., M.T.</v>
      </c>
      <c r="R100" s="203" t="str">
        <f t="shared" si="12"/>
        <v>Fauzan Asrin, S.Kom, M. Kom.</v>
      </c>
      <c r="S100" s="203" t="str">
        <f t="shared" si="13"/>
        <v>Enda Esyudha Pratama, S.T., M.T.</v>
      </c>
      <c r="T100" s="203" t="str">
        <f t="shared" si="14"/>
        <v>Fauzan Asrin, S.Kom, M. Kom.</v>
      </c>
      <c r="U100" s="161">
        <v>2</v>
      </c>
      <c r="V100" s="164" t="str">
        <f t="shared" si="9"/>
        <v>PAS</v>
      </c>
      <c r="W100" s="11" t="str">
        <f t="shared" si="10"/>
        <v/>
      </c>
      <c r="X100" s="165">
        <v>25</v>
      </c>
      <c r="Y100" s="24"/>
    </row>
    <row r="101" spans="2:25" ht="45" customHeight="1" thickBot="1" x14ac:dyDescent="0.35">
      <c r="B101" s="24"/>
      <c r="C101" s="68" t="str">
        <f>IF(OR(I101="",I101="None"),"-",IF(OR(K101="",K101="None"),E101&amp;" "&amp;"SEM-"&amp;F101&amp;" "&amp;"SKS-"&amp;G101&amp;" "&amp;H101&amp;" "&amp;J101,E101&amp;" "&amp;"SEM-"&amp;F101&amp;" SKS-"&amp;G101&amp;" "&amp;"S"&amp;H101&amp;" "&amp;H101&amp;" "&amp;J101&amp;"/"&amp;L101))</f>
        <v>Pemrograman  Web * SEM-5 SKS-4 SC C EE/FA</v>
      </c>
      <c r="D101" s="14" t="str">
        <f>IF(J$98&gt;='TABLE SISTEM'!A$5,'TABLE MK'!A$17,"")</f>
        <v>INF-55201-302</v>
      </c>
      <c r="E101" s="14" t="str">
        <f>IF(D101="","",(VLOOKUP(D101,Table1[Kode MK]:Table1[[#All],[Kode MK]:[Mata Kuliah Prasyarat]],2,)))</f>
        <v>Pemrograman  Web *</v>
      </c>
      <c r="F101" s="15">
        <f>IF(D101="","",(VLOOKUP(D101,Table1[Kode MK]:Table1[[#All],[Kode MK]:[Mata Kuliah Prasyarat]],3,)))</f>
        <v>5</v>
      </c>
      <c r="G101" s="15">
        <f>IF(D101="","",(VLOOKUP(D101,Table1[Kode MK]:Table1[[#All],[Kode MK]:[Mata Kuliah Prasyarat]],4,)))</f>
        <v>4</v>
      </c>
      <c r="H101" s="15" t="str">
        <f>IF(D101="","","C")</f>
        <v>C</v>
      </c>
      <c r="I101" s="21" t="s">
        <v>119</v>
      </c>
      <c r="J101" s="17" t="str">
        <f>IF(I101="","",(VLOOKUP(I101,tbDosen[NAMA DOSEN]:tbDosen[[NAMA DOSEN]:[KODE]],2,)))</f>
        <v>EE</v>
      </c>
      <c r="K101" s="39" t="s">
        <v>336</v>
      </c>
      <c r="L101" s="17" t="str">
        <f>IF(K101="","",(VLOOKUP(K101,tbDosen[NAMA DOSEN]:tbDosen[[NAMA DOSEN]:[KODE]],2,)))</f>
        <v>FA</v>
      </c>
      <c r="M101" s="16" t="str">
        <f>IF(OR(I101="",I101="None"),"",IF(OR(K101="",K101="None"),I101,I101&amp;" / "&amp;K101))</f>
        <v>Enda Esyudha Pratama, S.T., M.T. / Fauzan Asrin, S.Kom, M. Kom.</v>
      </c>
      <c r="N101" s="16" t="str">
        <f t="shared" si="15"/>
        <v>EE / FA</v>
      </c>
      <c r="O101" s="18">
        <f>IF(OR(I101="",I101="None"),"",IF(OR(K101="",K101="None"),G101,G101/2))</f>
        <v>2</v>
      </c>
      <c r="P101" s="61" t="str">
        <f>IF(D101="","",(IF(AND(G101=4,U101&lt;2),"ADA",IF(AND(G101&lt;4,U101=0),"ADA","TIDAK"))))</f>
        <v>TIDAK</v>
      </c>
      <c r="Q101" s="203" t="str">
        <f t="shared" si="11"/>
        <v>Enda Esyudha Pratama, S.T., M.T.</v>
      </c>
      <c r="R101" s="203" t="str">
        <f t="shared" si="12"/>
        <v>Fauzan Asrin, S.Kom, M. Kom.</v>
      </c>
      <c r="S101" s="203" t="str">
        <f t="shared" si="13"/>
        <v>Enda Esyudha Pratama, S.T., M.T.</v>
      </c>
      <c r="T101" s="203" t="str">
        <f t="shared" si="14"/>
        <v>Fauzan Asrin, S.Kom, M. Kom.</v>
      </c>
      <c r="U101" s="161">
        <v>2</v>
      </c>
      <c r="V101" s="164" t="str">
        <f t="shared" si="9"/>
        <v>PAS</v>
      </c>
      <c r="W101" s="11" t="str">
        <f t="shared" si="10"/>
        <v/>
      </c>
      <c r="X101" s="165">
        <v>25</v>
      </c>
      <c r="Y101" s="24"/>
    </row>
    <row r="102" spans="2:25" ht="45" customHeight="1" thickBot="1" x14ac:dyDescent="0.35">
      <c r="B102" s="24"/>
      <c r="C102" s="68" t="str">
        <f>IF(OR(I102="",I102="None"),"-",IF(OR(K102="",K102="None"),E102&amp;" "&amp;"SEM-"&amp;F102&amp;" "&amp;"SKS-"&amp;G102&amp;" "&amp;H102&amp;" "&amp;J102,E102&amp;" "&amp;"SEM-"&amp;F102&amp;" SKS-"&amp;G102&amp;" "&amp;"S"&amp;H102&amp;" "&amp;H102&amp;" "&amp;J102&amp;"/"&amp;L102))</f>
        <v>-</v>
      </c>
      <c r="D102" s="14" t="str">
        <f>IF(J$98&gt;='TABLE SISTEM'!A$6,'TABLE MK'!A$17,"")</f>
        <v/>
      </c>
      <c r="E102" s="14" t="str">
        <f>IF(D102="","",(VLOOKUP(D102,Table1[Kode MK]:Table1[[#All],[Kode MK]:[Mata Kuliah Prasyarat]],2,)))</f>
        <v/>
      </c>
      <c r="F102" s="15" t="str">
        <f>IF(D102="","",(VLOOKUP(D102,Table1[Kode MK]:Table1[[#All],[Kode MK]:[Mata Kuliah Prasyarat]],3,)))</f>
        <v/>
      </c>
      <c r="G102" s="15" t="str">
        <f>IF(D102="","",(VLOOKUP(D102,Table1[Kode MK]:Table1[[#All],[Kode MK]:[Mata Kuliah Prasyarat]],4,)))</f>
        <v/>
      </c>
      <c r="H102" s="15" t="str">
        <f>IF(D102="","","D")</f>
        <v/>
      </c>
      <c r="I102" s="21"/>
      <c r="J102" s="17" t="str">
        <f>IF(I102="","",(VLOOKUP(I102,tbDosen[NAMA DOSEN]:tbDosen[[NAMA DOSEN]:[KODE]],2,)))</f>
        <v/>
      </c>
      <c r="K102" s="39"/>
      <c r="L102" s="17" t="str">
        <f>IF(K102="","",(VLOOKUP(K102,tbDosen[NAMA DOSEN]:tbDosen[[NAMA DOSEN]:[KODE]],2,)))</f>
        <v/>
      </c>
      <c r="M102" s="16" t="str">
        <f>IF(OR(I102="",I102="None"),"",IF(OR(K102="",K102="None"),I102,I102&amp;" / "&amp;K102))</f>
        <v/>
      </c>
      <c r="N102" s="16" t="str">
        <f t="shared" si="15"/>
        <v xml:space="preserve"> / </v>
      </c>
      <c r="O102" s="18" t="str">
        <f>IF(OR(I102="",I102="None"),"",IF(OR(K102="",K102="None"),G102,G102/2))</f>
        <v/>
      </c>
      <c r="P102" s="61" t="str">
        <f>IF(D102="","",(IF(AND(G102=4,U102&lt;2),"ADA",IF(AND(G102&lt;4,U102=0),"ADA","TIDAK"))))</f>
        <v/>
      </c>
      <c r="Q102" s="203" t="str">
        <f t="shared" si="11"/>
        <v/>
      </c>
      <c r="R102" s="203" t="str">
        <f t="shared" si="12"/>
        <v/>
      </c>
      <c r="S102" s="203">
        <f t="shared" si="13"/>
        <v>0</v>
      </c>
      <c r="T102" s="203">
        <f t="shared" si="14"/>
        <v>0</v>
      </c>
      <c r="U102" s="161">
        <v>0</v>
      </c>
      <c r="V102" s="164" t="str">
        <f t="shared" si="9"/>
        <v/>
      </c>
      <c r="W102" s="11" t="str">
        <f t="shared" si="10"/>
        <v/>
      </c>
      <c r="X102" s="165"/>
      <c r="Y102" s="24"/>
    </row>
    <row r="103" spans="2:25" ht="45" customHeight="1" thickBot="1" x14ac:dyDescent="0.35">
      <c r="B103" s="24"/>
      <c r="C103" s="68" t="str">
        <f>IF(OR(I103="",I103="None"),"-",IF(OR(K103="",K103="None"),E103&amp;" "&amp;"SEM-"&amp;F103&amp;" "&amp;"SKS-"&amp;G103&amp;" "&amp;H103&amp;" "&amp;J103,E103&amp;" "&amp;"SEM-"&amp;F103&amp;" SKS-"&amp;G103&amp;" "&amp;"S"&amp;H103&amp;" "&amp;H103&amp;" "&amp;J103&amp;"/"&amp;L103))</f>
        <v>-</v>
      </c>
      <c r="D103" s="14" t="str">
        <f>IF(J$98&gt;='TABLE SISTEM'!A$7,'TABLE MK'!A$17,"")</f>
        <v/>
      </c>
      <c r="E103" s="14" t="str">
        <f>IF(D103="","",(VLOOKUP(D103,Table1[Kode MK]:Table1[[#All],[Kode MK]:[Mata Kuliah Prasyarat]],2,)))</f>
        <v/>
      </c>
      <c r="F103" s="15" t="str">
        <f>IF(D103="","",(VLOOKUP(D103,Table1[Kode MK]:Table1[[#All],[Kode MK]:[Mata Kuliah Prasyarat]],3,)))</f>
        <v/>
      </c>
      <c r="G103" s="15" t="str">
        <f>IF(D103="","",(VLOOKUP(D103,Table1[Kode MK]:Table1[[#All],[Kode MK]:[Mata Kuliah Prasyarat]],4,)))</f>
        <v/>
      </c>
      <c r="H103" s="15" t="str">
        <f>IF(D103="","","E")</f>
        <v/>
      </c>
      <c r="I103" s="44" t="s">
        <v>105</v>
      </c>
      <c r="J103" s="17" t="str">
        <f>IF(I103="","",(VLOOKUP(I103,tbDosen[NAMA DOSEN]:tbDosen[[NAMA DOSEN]:[KODE]],2,)))</f>
        <v>-</v>
      </c>
      <c r="K103" s="44" t="s">
        <v>105</v>
      </c>
      <c r="L103" s="17" t="str">
        <f>IF(K103="","",(VLOOKUP(K103,tbDosen[NAMA DOSEN]:tbDosen[[NAMA DOSEN]:[KODE]],2,)))</f>
        <v>-</v>
      </c>
      <c r="M103" s="16" t="str">
        <f>IF(OR(I103="",I103="None"),"",IF(OR(K103="",K103="None"),I103,I103&amp;" / "&amp;K103))</f>
        <v/>
      </c>
      <c r="N103" s="16" t="str">
        <f t="shared" si="15"/>
        <v/>
      </c>
      <c r="O103" s="18" t="str">
        <f>IF(OR(I103="",I103="None"),"",IF(OR(K103="",K103="None"),G103,G103/2))</f>
        <v/>
      </c>
      <c r="P103" s="62" t="str">
        <f>IF(D103="","",(IF(AND(G103=4,U103&lt;2),"ADA",IF(AND(G103&lt;4,U103=0),"ADA","TIDAK"))))</f>
        <v/>
      </c>
      <c r="Q103" s="203" t="str">
        <f t="shared" si="11"/>
        <v/>
      </c>
      <c r="R103" s="203" t="str">
        <f t="shared" si="12"/>
        <v/>
      </c>
      <c r="S103" s="203" t="str">
        <f t="shared" si="13"/>
        <v/>
      </c>
      <c r="T103" s="203" t="str">
        <f t="shared" si="14"/>
        <v/>
      </c>
      <c r="U103" s="161">
        <v>0</v>
      </c>
      <c r="V103" s="164" t="str">
        <f t="shared" si="9"/>
        <v/>
      </c>
      <c r="W103" s="11" t="str">
        <f t="shared" si="10"/>
        <v/>
      </c>
      <c r="X103" s="165"/>
      <c r="Y103" s="24"/>
    </row>
    <row r="104" spans="2:25" ht="45" customHeight="1" thickBot="1" x14ac:dyDescent="0.35">
      <c r="B104" s="24"/>
      <c r="C104" s="67"/>
      <c r="D104" s="41" t="s">
        <v>157</v>
      </c>
      <c r="E104" s="256" t="str">
        <f>'TABLE MK'!B18</f>
        <v>Pemrograman Jaringan *</v>
      </c>
      <c r="F104" s="256"/>
      <c r="G104" s="256"/>
      <c r="H104" s="256"/>
      <c r="I104" s="41" t="s">
        <v>95</v>
      </c>
      <c r="J104" s="40">
        <v>3</v>
      </c>
      <c r="K104" s="42"/>
      <c r="L104" s="43"/>
      <c r="M104" s="43" t="s">
        <v>161</v>
      </c>
      <c r="N104" s="45"/>
      <c r="O104" s="42"/>
      <c r="P104" s="63"/>
      <c r="Q104" s="203" t="str">
        <f t="shared" si="11"/>
        <v/>
      </c>
      <c r="R104" s="203" t="str">
        <f t="shared" si="12"/>
        <v/>
      </c>
      <c r="S104" s="203" t="str">
        <f t="shared" si="13"/>
        <v>Jumlah Kelas</v>
      </c>
      <c r="T104" s="203">
        <f t="shared" si="14"/>
        <v>0</v>
      </c>
      <c r="U104" s="161">
        <v>0</v>
      </c>
      <c r="V104" s="164" t="str">
        <f t="shared" si="9"/>
        <v/>
      </c>
      <c r="W104" s="11" t="str">
        <f t="shared" si="10"/>
        <v/>
      </c>
      <c r="X104" s="165"/>
      <c r="Y104" s="24"/>
    </row>
    <row r="105" spans="2:25" ht="45" customHeight="1" thickBot="1" x14ac:dyDescent="0.35">
      <c r="B105" s="24"/>
      <c r="C105" s="68" t="str">
        <f>IF(OR(I105="",I105="None"),"-",IF(OR(K105="",K105="None"),E105&amp;" "&amp;"SEM-"&amp;F105&amp;" "&amp;"SKS-"&amp;G105&amp;" "&amp;H105&amp;" "&amp;J105,E105&amp;" "&amp;"SEM-"&amp;F105&amp;" SKS-"&amp;G105&amp;" "&amp;"S"&amp;H105&amp;" "&amp;H105&amp;" "&amp;J105&amp;"/"&amp;L105))</f>
        <v>Pemrograman Jaringan * SEM-5 SKS-3 A HP</v>
      </c>
      <c r="D105" t="str">
        <f>IF(J$104&gt;='TABLE SISTEM'!A$3,'TABLE MK'!A$18,"")</f>
        <v>INF-55201-303</v>
      </c>
      <c r="E105" s="14" t="str">
        <f>IF(D105="","",(VLOOKUP(D105,Table1[Kode MK]:Table1[[#All],[Kode MK]:[Mata Kuliah Prasyarat]],2,)))</f>
        <v>Pemrograman Jaringan *</v>
      </c>
      <c r="F105" s="15">
        <f>IF(D105="","",(VLOOKUP(D105,Table1[Kode MK]:Table1[[#All],[Kode MK]:[Mata Kuliah Prasyarat]],3,)))</f>
        <v>5</v>
      </c>
      <c r="G105" s="15">
        <f>IF(D105="","",(VLOOKUP(D105,Table1[Kode MK]:Table1[[#All],[Kode MK]:[Mata Kuliah Prasyarat]],4,)))</f>
        <v>3</v>
      </c>
      <c r="H105" s="15" t="str">
        <f>IF(D105="","","A")</f>
        <v>A</v>
      </c>
      <c r="I105" s="39" t="s">
        <v>132</v>
      </c>
      <c r="J105" s="17" t="str">
        <f>IF(I105="","",(VLOOKUP(I105,tbDosen[NAMA DOSEN]:tbDosen[[NAMA DOSEN]:[KODE]],2,)))</f>
        <v>HP</v>
      </c>
      <c r="K105" s="39" t="s">
        <v>105</v>
      </c>
      <c r="L105" s="17" t="str">
        <f>IF(K105="","",(VLOOKUP(K105,tbDosen[NAMA DOSEN]:tbDosen[[NAMA DOSEN]:[KODE]],2,)))</f>
        <v>-</v>
      </c>
      <c r="M105" s="16" t="str">
        <f>IF(OR(I105="",I105="None"),"",IF(OR(K105="",K105="None"),I105,I105&amp;" / "&amp;K105))</f>
        <v>Heri Priyanto,S.T., M.T.</v>
      </c>
      <c r="N105" s="16" t="str">
        <f t="shared" si="15"/>
        <v>HP</v>
      </c>
      <c r="O105" s="18">
        <f>IF(OR(I105="",I105="None"),"",IF(OR(K105="",K105="None"),G105,G105/2))</f>
        <v>3</v>
      </c>
      <c r="P105" s="60" t="str">
        <f>IF(D105="","",(IF(AND(G105=4,U105&lt;2),"ADA",IF(AND(G105&lt;4,U105=0),"ADA","TIDAK"))))</f>
        <v>TIDAK</v>
      </c>
      <c r="Q105" s="203" t="str">
        <f t="shared" si="11"/>
        <v/>
      </c>
      <c r="R105" s="203" t="str">
        <f t="shared" si="12"/>
        <v/>
      </c>
      <c r="S105" s="203" t="str">
        <f t="shared" si="13"/>
        <v/>
      </c>
      <c r="T105" s="203" t="str">
        <f t="shared" si="14"/>
        <v/>
      </c>
      <c r="U105" s="161">
        <v>1</v>
      </c>
      <c r="V105" s="164" t="str">
        <f t="shared" ref="V105:V136" si="16">IF(G105="","",IF(OR(G105=2,G105=3),IF((U105&lt;1),"KURANG",IF(U105&gt;1,"LEBIH","PAS")),IF(G105=4,IF(U105&lt;2,"KURANG",IF(U105&gt;2,"LEBIH","PAS")))))</f>
        <v>PAS</v>
      </c>
      <c r="W105" s="11" t="str">
        <f t="shared" ref="W105:W136" si="17">IF(P105="ADA",C105,"")</f>
        <v/>
      </c>
      <c r="X105" s="165">
        <v>25</v>
      </c>
      <c r="Y105" s="24"/>
    </row>
    <row r="106" spans="2:25" ht="45" customHeight="1" thickBot="1" x14ac:dyDescent="0.35">
      <c r="B106" s="24"/>
      <c r="C106" s="68" t="str">
        <f>IF(OR(I106="",I106="None"),"-",IF(OR(K106="",K106="None"),E106&amp;" "&amp;"SEM-"&amp;F106&amp;" "&amp;"SKS-"&amp;G106&amp;" "&amp;H106&amp;" "&amp;J106,E106&amp;" "&amp;"SEM-"&amp;F106&amp;" SKS-"&amp;G106&amp;" "&amp;"S"&amp;H106&amp;" "&amp;H106&amp;" "&amp;J106&amp;"/"&amp;L106))</f>
        <v>Pemrograman Jaringan * SEM-5 SKS-3 B HP</v>
      </c>
      <c r="D106" t="str">
        <f>IF(J$104&gt;='TABLE SISTEM'!A$4,'TABLE MK'!A$18,"")</f>
        <v>INF-55201-303</v>
      </c>
      <c r="E106" s="14" t="str">
        <f>IF(D106="","",(VLOOKUP(D106,Table1[Kode MK]:Table1[[#All],[Kode MK]:[Mata Kuliah Prasyarat]],2,)))</f>
        <v>Pemrograman Jaringan *</v>
      </c>
      <c r="F106" s="15">
        <f>IF(D106="","",(VLOOKUP(D106,Table1[Kode MK]:Table1[[#All],[Kode MK]:[Mata Kuliah Prasyarat]],3,)))</f>
        <v>5</v>
      </c>
      <c r="G106" s="15">
        <f>IF(D106="","",(VLOOKUP(D106,Table1[Kode MK]:Table1[[#All],[Kode MK]:[Mata Kuliah Prasyarat]],4,)))</f>
        <v>3</v>
      </c>
      <c r="H106" s="15" t="str">
        <f>IF(D106="","","B")</f>
        <v>B</v>
      </c>
      <c r="I106" s="21" t="s">
        <v>132</v>
      </c>
      <c r="J106" s="17" t="str">
        <f>IF(I106="","",(VLOOKUP(I106,tbDosen[NAMA DOSEN]:tbDosen[[NAMA DOSEN]:[KODE]],2,)))</f>
        <v>HP</v>
      </c>
      <c r="K106" s="21" t="s">
        <v>105</v>
      </c>
      <c r="L106" s="17" t="str">
        <f>IF(K106="","",(VLOOKUP(K106,tbDosen[NAMA DOSEN]:tbDosen[[NAMA DOSEN]:[KODE]],2,)))</f>
        <v>-</v>
      </c>
      <c r="M106" s="16" t="str">
        <f>IF(OR(I106="",I106="None"),"",IF(OR(K106="",K106="None"),I106,I106&amp;" / "&amp;K106))</f>
        <v>Heri Priyanto,S.T., M.T.</v>
      </c>
      <c r="N106" s="16" t="str">
        <f t="shared" si="15"/>
        <v>HP</v>
      </c>
      <c r="O106" s="18">
        <f>IF(OR(I106="",I106="None"),"",IF(OR(K106="",K106="None"),G106,G106/2))</f>
        <v>3</v>
      </c>
      <c r="P106" s="61" t="str">
        <f>IF(D106="","",(IF(AND(G106=4,U106&lt;2),"ADA",IF(AND(G106&lt;4,U106=0),"ADA","TIDAK"))))</f>
        <v>TIDAK</v>
      </c>
      <c r="Q106" s="203" t="str">
        <f t="shared" si="11"/>
        <v/>
      </c>
      <c r="R106" s="203" t="str">
        <f t="shared" si="12"/>
        <v/>
      </c>
      <c r="S106" s="203" t="str">
        <f t="shared" si="13"/>
        <v/>
      </c>
      <c r="T106" s="203" t="str">
        <f t="shared" si="14"/>
        <v/>
      </c>
      <c r="U106" s="161">
        <v>1</v>
      </c>
      <c r="V106" s="164" t="str">
        <f t="shared" si="16"/>
        <v>PAS</v>
      </c>
      <c r="W106" s="11" t="str">
        <f t="shared" si="17"/>
        <v/>
      </c>
      <c r="X106" s="165">
        <v>25</v>
      </c>
      <c r="Y106" s="24"/>
    </row>
    <row r="107" spans="2:25" ht="45" customHeight="1" thickBot="1" x14ac:dyDescent="0.35">
      <c r="B107" s="24"/>
      <c r="C107" s="68" t="str">
        <f>IF(OR(I107="",I107="None"),"-",IF(OR(K107="",K107="None"),E107&amp;" "&amp;"SEM-"&amp;F107&amp;" "&amp;"SKS-"&amp;G107&amp;" "&amp;H107&amp;" "&amp;J107,E107&amp;" "&amp;"SEM-"&amp;F107&amp;" SKS-"&amp;G107&amp;" "&amp;"S"&amp;H107&amp;" "&amp;H107&amp;" "&amp;J107&amp;"/"&amp;L107))</f>
        <v>Pemrograman Jaringan * SEM-5 SKS-3 C HP</v>
      </c>
      <c r="D107" t="str">
        <f>IF(J$104&gt;='TABLE SISTEM'!A$5,'TABLE MK'!A$18,"")</f>
        <v>INF-55201-303</v>
      </c>
      <c r="E107" s="14" t="str">
        <f>IF(D107="","",(VLOOKUP(D107,Table1[Kode MK]:Table1[[#All],[Kode MK]:[Mata Kuliah Prasyarat]],2,)))</f>
        <v>Pemrograman Jaringan *</v>
      </c>
      <c r="F107" s="15">
        <f>IF(D107="","",(VLOOKUP(D107,Table1[Kode MK]:Table1[[#All],[Kode MK]:[Mata Kuliah Prasyarat]],3,)))</f>
        <v>5</v>
      </c>
      <c r="G107" s="15">
        <f>IF(D107="","",(VLOOKUP(D107,Table1[Kode MK]:Table1[[#All],[Kode MK]:[Mata Kuliah Prasyarat]],4,)))</f>
        <v>3</v>
      </c>
      <c r="H107" s="15" t="str">
        <f>IF(D107="","","C")</f>
        <v>C</v>
      </c>
      <c r="I107" s="21" t="s">
        <v>132</v>
      </c>
      <c r="J107" s="17" t="str">
        <f>IF(I107="","",(VLOOKUP(I107,tbDosen[NAMA DOSEN]:tbDosen[[NAMA DOSEN]:[KODE]],2,)))</f>
        <v>HP</v>
      </c>
      <c r="K107" s="21" t="s">
        <v>105</v>
      </c>
      <c r="L107" s="17" t="str">
        <f>IF(K107="","",(VLOOKUP(K107,tbDosen[NAMA DOSEN]:tbDosen[[NAMA DOSEN]:[KODE]],2,)))</f>
        <v>-</v>
      </c>
      <c r="M107" s="16" t="str">
        <f>IF(OR(I107="",I107="None"),"",IF(OR(K107="",K107="None"),I107,I107&amp;" / "&amp;K107))</f>
        <v>Heri Priyanto,S.T., M.T.</v>
      </c>
      <c r="N107" s="16" t="str">
        <f t="shared" si="15"/>
        <v>HP</v>
      </c>
      <c r="O107" s="18">
        <f>IF(OR(I107="",I107="None"),"",IF(OR(K107="",K107="None"),G107,G107/2))</f>
        <v>3</v>
      </c>
      <c r="P107" s="61" t="str">
        <f>IF(D107="","",(IF(AND(G107=4,U107&lt;2),"ADA",IF(AND(G107&lt;4,U107=0),"ADA","TIDAK"))))</f>
        <v>TIDAK</v>
      </c>
      <c r="Q107" s="203" t="str">
        <f t="shared" si="11"/>
        <v/>
      </c>
      <c r="R107" s="203" t="str">
        <f t="shared" si="12"/>
        <v/>
      </c>
      <c r="S107" s="203" t="str">
        <f t="shared" si="13"/>
        <v/>
      </c>
      <c r="T107" s="203" t="str">
        <f t="shared" si="14"/>
        <v/>
      </c>
      <c r="U107" s="161">
        <v>1</v>
      </c>
      <c r="V107" s="164" t="str">
        <f t="shared" si="16"/>
        <v>PAS</v>
      </c>
      <c r="W107" s="11" t="str">
        <f t="shared" si="17"/>
        <v/>
      </c>
      <c r="X107" s="165">
        <v>25</v>
      </c>
      <c r="Y107" s="24"/>
    </row>
    <row r="108" spans="2:25" ht="45" customHeight="1" thickBot="1" x14ac:dyDescent="0.35">
      <c r="B108" s="24"/>
      <c r="C108" s="68" t="str">
        <f>IF(OR(I108="",I108="None"),"-",IF(OR(K108="",K108="None"),E108&amp;" "&amp;"SEM-"&amp;F108&amp;" "&amp;"SKS-"&amp;G108&amp;" "&amp;H108&amp;" "&amp;J108,E108&amp;" "&amp;"SEM-"&amp;F108&amp;" SKS-"&amp;G108&amp;" "&amp;"S"&amp;H108&amp;" "&amp;H108&amp;" "&amp;J108&amp;"/"&amp;L108))</f>
        <v>-</v>
      </c>
      <c r="D108" t="str">
        <f>IF(J$104&gt;='TABLE SISTEM'!A$6,'TABLE MK'!A$18,"")</f>
        <v/>
      </c>
      <c r="E108" s="14" t="str">
        <f>IF(D108="","",(VLOOKUP(D108,Table1[Kode MK]:Table1[[#All],[Kode MK]:[Mata Kuliah Prasyarat]],2,)))</f>
        <v/>
      </c>
      <c r="F108" s="15" t="str">
        <f>IF(D108="","",(VLOOKUP(D108,Table1[Kode MK]:Table1[[#All],[Kode MK]:[Mata Kuliah Prasyarat]],3,)))</f>
        <v/>
      </c>
      <c r="G108" s="15" t="str">
        <f>IF(D108="","",(VLOOKUP(D108,Table1[Kode MK]:Table1[[#All],[Kode MK]:[Mata Kuliah Prasyarat]],4,)))</f>
        <v/>
      </c>
      <c r="H108" s="15" t="str">
        <f>IF(D108="","","D")</f>
        <v/>
      </c>
      <c r="I108" s="44" t="s">
        <v>105</v>
      </c>
      <c r="J108" s="17" t="str">
        <f>IF(I108="","",(VLOOKUP(I108,tbDosen[NAMA DOSEN]:tbDosen[[NAMA DOSEN]:[KODE]],2,)))</f>
        <v>-</v>
      </c>
      <c r="K108" s="21" t="s">
        <v>105</v>
      </c>
      <c r="L108" s="17" t="str">
        <f>IF(K108="","",(VLOOKUP(K108,tbDosen[NAMA DOSEN]:tbDosen[[NAMA DOSEN]:[KODE]],2,)))</f>
        <v>-</v>
      </c>
      <c r="M108" s="16" t="str">
        <f>IF(OR(I108="",I108="None"),"",IF(OR(K108="",K108="None"),I108,I108&amp;" / "&amp;K108))</f>
        <v/>
      </c>
      <c r="N108" s="16" t="str">
        <f t="shared" si="15"/>
        <v/>
      </c>
      <c r="O108" s="18" t="str">
        <f>IF(OR(I108="",I108="None"),"",IF(OR(K108="",K108="None"),G108,G108/2))</f>
        <v/>
      </c>
      <c r="P108" s="61" t="str">
        <f>IF(D108="","",(IF(AND(G108=4,U108&lt;2),"ADA",IF(AND(G108&lt;4,U108=0),"ADA","TIDAK"))))</f>
        <v/>
      </c>
      <c r="Q108" s="203" t="str">
        <f t="shared" si="11"/>
        <v/>
      </c>
      <c r="R108" s="203" t="str">
        <f t="shared" si="12"/>
        <v/>
      </c>
      <c r="S108" s="203" t="str">
        <f t="shared" si="13"/>
        <v/>
      </c>
      <c r="T108" s="203" t="str">
        <f t="shared" si="14"/>
        <v/>
      </c>
      <c r="U108" s="161">
        <v>0</v>
      </c>
      <c r="V108" s="164" t="str">
        <f t="shared" si="16"/>
        <v/>
      </c>
      <c r="W108" s="11" t="str">
        <f t="shared" si="17"/>
        <v/>
      </c>
      <c r="X108" s="165"/>
      <c r="Y108" s="24"/>
    </row>
    <row r="109" spans="2:25" ht="45" customHeight="1" thickBot="1" x14ac:dyDescent="0.35">
      <c r="B109" s="24"/>
      <c r="C109" s="68" t="str">
        <f>IF(OR(I109="",I109="None"),"-",IF(OR(K109="",K109="None"),E109&amp;" "&amp;"SEM-"&amp;F109&amp;" "&amp;"SKS-"&amp;G109&amp;" "&amp;H109&amp;" "&amp;J109,E109&amp;" "&amp;"SEM-"&amp;F109&amp;" SKS-"&amp;G109&amp;" "&amp;"S"&amp;H109&amp;" "&amp;H109&amp;" "&amp;J109&amp;"/"&amp;L109))</f>
        <v>-</v>
      </c>
      <c r="D109" t="str">
        <f>IF(J$104&gt;='TABLE SISTEM'!A$7,'TABLE MK'!A$18,"")</f>
        <v/>
      </c>
      <c r="E109" s="14" t="str">
        <f>IF(D109="","",(VLOOKUP(D109,Table1[Kode MK]:Table1[[#All],[Kode MK]:[Mata Kuliah Prasyarat]],2,)))</f>
        <v/>
      </c>
      <c r="F109" s="15" t="str">
        <f>IF(D109="","",(VLOOKUP(D109,Table1[Kode MK]:Table1[[#All],[Kode MK]:[Mata Kuliah Prasyarat]],3,)))</f>
        <v/>
      </c>
      <c r="G109" s="15" t="str">
        <f>IF(D109="","",(VLOOKUP(D109,Table1[Kode MK]:Table1[[#All],[Kode MK]:[Mata Kuliah Prasyarat]],4,)))</f>
        <v/>
      </c>
      <c r="H109" s="15" t="str">
        <f>IF(D109="","","E")</f>
        <v/>
      </c>
      <c r="I109" s="44" t="s">
        <v>105</v>
      </c>
      <c r="J109" s="17" t="str">
        <f>IF(I109="","",(VLOOKUP(I109,tbDosen[NAMA DOSEN]:tbDosen[[NAMA DOSEN]:[KODE]],2,)))</f>
        <v>-</v>
      </c>
      <c r="K109" s="44" t="s">
        <v>105</v>
      </c>
      <c r="L109" s="17" t="str">
        <f>IF(K109="","",(VLOOKUP(K109,tbDosen[NAMA DOSEN]:tbDosen[[NAMA DOSEN]:[KODE]],2,)))</f>
        <v>-</v>
      </c>
      <c r="M109" s="16" t="str">
        <f>IF(OR(I109="",I109="None"),"",IF(OR(K109="",K109="None"),I109,I109&amp;" / "&amp;K109))</f>
        <v/>
      </c>
      <c r="N109" s="16" t="str">
        <f t="shared" si="15"/>
        <v/>
      </c>
      <c r="O109" s="18" t="str">
        <f>IF(OR(I109="",I109="None"),"",IF(OR(K109="",K109="None"),G109,G109/2))</f>
        <v/>
      </c>
      <c r="P109" s="62" t="str">
        <f>IF(D109="","",(IF(AND(G109=4,U109&lt;2),"ADA",IF(AND(G109&lt;4,U109=0),"ADA","TIDAK"))))</f>
        <v/>
      </c>
      <c r="Q109" s="203" t="str">
        <f t="shared" si="11"/>
        <v/>
      </c>
      <c r="R109" s="203" t="str">
        <f t="shared" si="12"/>
        <v/>
      </c>
      <c r="S109" s="203" t="str">
        <f t="shared" si="13"/>
        <v/>
      </c>
      <c r="T109" s="203" t="str">
        <f t="shared" si="14"/>
        <v/>
      </c>
      <c r="U109" s="161">
        <v>0</v>
      </c>
      <c r="V109" s="164" t="str">
        <f t="shared" si="16"/>
        <v/>
      </c>
      <c r="W109" s="11" t="str">
        <f t="shared" si="17"/>
        <v/>
      </c>
      <c r="X109" s="165"/>
      <c r="Y109" s="24"/>
    </row>
    <row r="110" spans="2:25" ht="45" customHeight="1" thickBot="1" x14ac:dyDescent="0.35">
      <c r="B110" s="24"/>
      <c r="C110" s="67"/>
      <c r="D110" s="41" t="s">
        <v>157</v>
      </c>
      <c r="E110" s="256" t="str">
        <f>'TABLE MK'!B19</f>
        <v>Sistem Tertanam*</v>
      </c>
      <c r="F110" s="256"/>
      <c r="G110" s="256"/>
      <c r="H110" s="256"/>
      <c r="I110" s="41" t="s">
        <v>95</v>
      </c>
      <c r="J110" s="40">
        <v>4</v>
      </c>
      <c r="K110" s="42"/>
      <c r="L110" s="43"/>
      <c r="M110" s="43" t="s">
        <v>161</v>
      </c>
      <c r="N110" s="45"/>
      <c r="O110" s="42"/>
      <c r="P110" s="63"/>
      <c r="Q110" s="203" t="str">
        <f t="shared" si="11"/>
        <v/>
      </c>
      <c r="R110" s="203" t="str">
        <f t="shared" si="12"/>
        <v/>
      </c>
      <c r="S110" s="203" t="str">
        <f t="shared" si="13"/>
        <v>Jumlah Kelas</v>
      </c>
      <c r="T110" s="203">
        <f t="shared" si="14"/>
        <v>0</v>
      </c>
      <c r="U110" s="161">
        <v>0</v>
      </c>
      <c r="V110" s="164" t="str">
        <f t="shared" si="16"/>
        <v/>
      </c>
      <c r="W110" s="11" t="str">
        <f t="shared" si="17"/>
        <v/>
      </c>
      <c r="X110" s="165"/>
      <c r="Y110" s="24"/>
    </row>
    <row r="111" spans="2:25" ht="45" customHeight="1" thickBot="1" x14ac:dyDescent="0.35">
      <c r="B111" s="24"/>
      <c r="C111" s="68" t="str">
        <f>IF(OR(I111="",I111="None"),"-",IF(OR(K111="",K111="None"),E111&amp;" "&amp;"SEM-"&amp;F111&amp;" "&amp;"SKS-"&amp;G111&amp;" "&amp;H111&amp;" "&amp;J111,E111&amp;" "&amp;"SEM-"&amp;F111&amp;" SKS-"&amp;G111&amp;" "&amp;"S"&amp;H111&amp;" "&amp;H111&amp;" "&amp;J111&amp;"/"&amp;L111))</f>
        <v>Sistem Tertanam* SEM-5 SKS-3 A HM</v>
      </c>
      <c r="D111" s="14" t="str">
        <f>IF(J$110&gt;='TABLE SISTEM'!A$3,'TABLE MK'!A$19,"")</f>
        <v>INF-55201-304</v>
      </c>
      <c r="E111" s="14" t="str">
        <f>IF(D111="","",(VLOOKUP(D111,Table1[Kode MK]:Table1[[#All],[Kode MK]:[Mata Kuliah Prasyarat]],2,)))</f>
        <v>Sistem Tertanam*</v>
      </c>
      <c r="F111" s="15">
        <f>IF(D111="","",(VLOOKUP(D111,Table1[Kode MK]:Table1[[#All],[Kode MK]:[Mata Kuliah Prasyarat]],3,)))</f>
        <v>5</v>
      </c>
      <c r="G111" s="15">
        <f>IF(D111="","",(VLOOKUP(D111,Table1[Kode MK]:Table1[[#All],[Kode MK]:[Mata Kuliah Prasyarat]],4,)))</f>
        <v>3</v>
      </c>
      <c r="H111" s="15" t="str">
        <f>IF(D111="","","A")</f>
        <v>A</v>
      </c>
      <c r="I111" s="39" t="s">
        <v>125</v>
      </c>
      <c r="J111" s="17" t="str">
        <f>IF(I111="","",(VLOOKUP(I111,tbDosen[NAMA DOSEN]:tbDosen[[NAMA DOSEN]:[KODE]],2,)))</f>
        <v>HM</v>
      </c>
      <c r="K111" s="39" t="s">
        <v>105</v>
      </c>
      <c r="L111" s="17" t="str">
        <f>IF(K111="","",(VLOOKUP(K111,tbDosen[NAMA DOSEN]:tbDosen[[NAMA DOSEN]:[KODE]],2,)))</f>
        <v>-</v>
      </c>
      <c r="M111" s="16" t="str">
        <f>IF(OR(I111="",I111="None"),"",IF(OR(K111="",K111="None"),I111,I111&amp;" / "&amp;K111))</f>
        <v>Hafiz Muhardi, S.T., M.Kom</v>
      </c>
      <c r="N111" s="16" t="str">
        <f t="shared" si="15"/>
        <v>HM</v>
      </c>
      <c r="O111" s="18">
        <f>IF(OR(I111="",I111="None"),"",IF(OR(K111="",K111="None"),G111,G111/2))</f>
        <v>3</v>
      </c>
      <c r="P111" s="60" t="str">
        <f>IF(D111="","",(IF(AND(G111=4,U111&lt;2),"ADA",IF(AND(G111&lt;4,U111=0),"ADA","TIDAK"))))</f>
        <v>TIDAK</v>
      </c>
      <c r="Q111" s="203" t="str">
        <f t="shared" si="11"/>
        <v/>
      </c>
      <c r="R111" s="203" t="str">
        <f t="shared" si="12"/>
        <v/>
      </c>
      <c r="S111" s="203" t="str">
        <f t="shared" si="13"/>
        <v/>
      </c>
      <c r="T111" s="203" t="str">
        <f t="shared" si="14"/>
        <v/>
      </c>
      <c r="U111" s="161">
        <v>1</v>
      </c>
      <c r="V111" s="164" t="str">
        <f t="shared" si="16"/>
        <v>PAS</v>
      </c>
      <c r="W111" s="11" t="str">
        <f t="shared" si="17"/>
        <v/>
      </c>
      <c r="X111" s="165">
        <v>20</v>
      </c>
      <c r="Y111" s="24"/>
    </row>
    <row r="112" spans="2:25" ht="45" customHeight="1" thickBot="1" x14ac:dyDescent="0.35">
      <c r="B112" s="24"/>
      <c r="C112" s="68" t="str">
        <f>IF(OR(I112="",I112="None"),"-",IF(OR(K112="",K112="None"),E112&amp;" "&amp;"SEM-"&amp;F112&amp;" "&amp;"SKS-"&amp;G112&amp;" "&amp;H112&amp;" "&amp;J112,E112&amp;" "&amp;"SEM-"&amp;F112&amp;" SKS-"&amp;G112&amp;" "&amp;"S"&amp;H112&amp;" "&amp;H112&amp;" "&amp;J112&amp;"/"&amp;L112))</f>
        <v>Sistem Tertanam* SEM-5 SKS-3 SB B HM/AAJ</v>
      </c>
      <c r="D112" s="14" t="str">
        <f>IF(J$110&gt;='TABLE SISTEM'!A$4,'TABLE MK'!A$19,"")</f>
        <v>INF-55201-304</v>
      </c>
      <c r="E112" s="14" t="str">
        <f>IF(D112="","",(VLOOKUP(D112,Table1[Kode MK]:Table1[[#All],[Kode MK]:[Mata Kuliah Prasyarat]],2,)))</f>
        <v>Sistem Tertanam*</v>
      </c>
      <c r="F112" s="15">
        <f>IF(D112="","",(VLOOKUP(D112,Table1[Kode MK]:Table1[[#All],[Kode MK]:[Mata Kuliah Prasyarat]],3,)))</f>
        <v>5</v>
      </c>
      <c r="G112" s="15">
        <f>IF(D112="","",(VLOOKUP(D112,Table1[Kode MK]:Table1[[#All],[Kode MK]:[Mata Kuliah Prasyarat]],4,)))</f>
        <v>3</v>
      </c>
      <c r="H112" s="15" t="str">
        <f>IF(D112="","","B")</f>
        <v>B</v>
      </c>
      <c r="I112" s="21" t="s">
        <v>125</v>
      </c>
      <c r="J112" s="17" t="str">
        <f>IF(I112="","",(VLOOKUP(I112,tbDosen[NAMA DOSEN]:tbDosen[[NAMA DOSEN]:[KODE]],2,)))</f>
        <v>HM</v>
      </c>
      <c r="K112" s="39" t="s">
        <v>334</v>
      </c>
      <c r="L112" s="17" t="str">
        <f>IF(K112="","",(VLOOKUP(K112,tbDosen[NAMA DOSEN]:tbDosen[[NAMA DOSEN]:[KODE]],2,)))</f>
        <v>AAJ</v>
      </c>
      <c r="M112" s="16" t="str">
        <f>IF(OR(I112="",I112="None"),"",IF(OR(K112="",K112="None"),I112,I112&amp;" / "&amp;K112))</f>
        <v>Hafiz Muhardi, S.T., M.Kom / Alfian Abdul Jalid, S.Kom., M.Cs.</v>
      </c>
      <c r="N112" s="16" t="str">
        <f t="shared" si="15"/>
        <v>HM / AAJ</v>
      </c>
      <c r="O112" s="18">
        <f>IF(OR(I112="",I112="None"),"",IF(OR(K112="",K112="None"),G112,G112/2))</f>
        <v>1.5</v>
      </c>
      <c r="P112" s="61" t="str">
        <f>IF(D112="","",(IF(AND(G112=4,U112&lt;2),"ADA",IF(AND(G112&lt;4,U112=0),"ADA","TIDAK"))))</f>
        <v>TIDAK</v>
      </c>
      <c r="Q112" s="203" t="str">
        <f t="shared" si="11"/>
        <v/>
      </c>
      <c r="R112" s="203" t="str">
        <f t="shared" si="12"/>
        <v/>
      </c>
      <c r="S112" s="203" t="str">
        <f t="shared" si="13"/>
        <v>Hafiz Muhardi, S.T., M.Kom</v>
      </c>
      <c r="T112" s="203" t="str">
        <f t="shared" si="14"/>
        <v>Alfian Abdul Jalid, S.Kom., M.Cs.</v>
      </c>
      <c r="U112" s="161">
        <v>1</v>
      </c>
      <c r="V112" s="164" t="str">
        <f t="shared" si="16"/>
        <v>PAS</v>
      </c>
      <c r="W112" s="11" t="str">
        <f t="shared" si="17"/>
        <v/>
      </c>
      <c r="X112" s="165">
        <v>20</v>
      </c>
      <c r="Y112" s="24"/>
    </row>
    <row r="113" spans="2:25" ht="45" customHeight="1" thickBot="1" x14ac:dyDescent="0.35">
      <c r="B113" s="24"/>
      <c r="C113" s="68" t="str">
        <f>IF(OR(I113="",I113="None"),"-",IF(OR(K113="",K113="None"),E113&amp;" "&amp;"SEM-"&amp;F113&amp;" "&amp;"SKS-"&amp;G113&amp;" "&amp;H113&amp;" "&amp;J113,E113&amp;" "&amp;"SEM-"&amp;F113&amp;" SKS-"&amp;G113&amp;" "&amp;"S"&amp;H113&amp;" "&amp;H113&amp;" "&amp;J113&amp;"/"&amp;L113))</f>
        <v>Sistem Tertanam* SEM-5 SKS-3 C HM</v>
      </c>
      <c r="D113" s="14" t="str">
        <f>IF(J$110&gt;='TABLE SISTEM'!A$5,'TABLE MK'!A$19,"")</f>
        <v>INF-55201-304</v>
      </c>
      <c r="E113" s="14" t="str">
        <f>IF(D113="","",(VLOOKUP(D113,Table1[Kode MK]:Table1[[#All],[Kode MK]:[Mata Kuliah Prasyarat]],2,)))</f>
        <v>Sistem Tertanam*</v>
      </c>
      <c r="F113" s="15">
        <f>IF(D113="","",(VLOOKUP(D113,Table1[Kode MK]:Table1[[#All],[Kode MK]:[Mata Kuliah Prasyarat]],3,)))</f>
        <v>5</v>
      </c>
      <c r="G113" s="15">
        <f>IF(D113="","",(VLOOKUP(D113,Table1[Kode MK]:Table1[[#All],[Kode MK]:[Mata Kuliah Prasyarat]],4,)))</f>
        <v>3</v>
      </c>
      <c r="H113" s="15" t="str">
        <f>IF(D113="","","C")</f>
        <v>C</v>
      </c>
      <c r="I113" s="21" t="s">
        <v>125</v>
      </c>
      <c r="J113" s="17" t="str">
        <f>IF(I113="","",(VLOOKUP(I113,tbDosen[NAMA DOSEN]:tbDosen[[NAMA DOSEN]:[KODE]],2,)))</f>
        <v>HM</v>
      </c>
      <c r="K113" s="21" t="s">
        <v>105</v>
      </c>
      <c r="L113" s="17" t="str">
        <f>IF(K113="","",(VLOOKUP(K113,tbDosen[NAMA DOSEN]:tbDosen[[NAMA DOSEN]:[KODE]],2,)))</f>
        <v>-</v>
      </c>
      <c r="M113" s="16" t="str">
        <f>IF(OR(I113="",I113="None"),"",IF(OR(K113="",K113="None"),I113,I113&amp;" / "&amp;K113))</f>
        <v>Hafiz Muhardi, S.T., M.Kom</v>
      </c>
      <c r="N113" s="16" t="str">
        <f t="shared" si="15"/>
        <v>HM</v>
      </c>
      <c r="O113" s="18">
        <f>IF(OR(I113="",I113="None"),"",IF(OR(K113="",K113="None"),G113,G113/2))</f>
        <v>3</v>
      </c>
      <c r="P113" s="61" t="str">
        <f>IF(D113="","",(IF(AND(G113=4,U113&lt;2),"ADA",IF(AND(G113&lt;4,U113=0),"ADA","TIDAK"))))</f>
        <v>TIDAK</v>
      </c>
      <c r="Q113" s="203" t="str">
        <f t="shared" si="11"/>
        <v/>
      </c>
      <c r="R113" s="203" t="str">
        <f t="shared" si="12"/>
        <v/>
      </c>
      <c r="S113" s="203" t="str">
        <f t="shared" si="13"/>
        <v/>
      </c>
      <c r="T113" s="203" t="str">
        <f t="shared" si="14"/>
        <v/>
      </c>
      <c r="U113" s="161">
        <v>1</v>
      </c>
      <c r="V113" s="164" t="str">
        <f t="shared" si="16"/>
        <v>PAS</v>
      </c>
      <c r="W113" s="11" t="str">
        <f t="shared" si="17"/>
        <v/>
      </c>
      <c r="X113" s="165">
        <v>20</v>
      </c>
      <c r="Y113" s="24"/>
    </row>
    <row r="114" spans="2:25" ht="45" customHeight="1" thickBot="1" x14ac:dyDescent="0.35">
      <c r="B114" s="24"/>
      <c r="C114" s="68" t="str">
        <f>IF(OR(I114="",I114="None"),"-",IF(OR(K114="",K114="None"),E114&amp;" "&amp;"SEM-"&amp;F114&amp;" "&amp;"SKS-"&amp;G114&amp;" "&amp;H114&amp;" "&amp;J114,E114&amp;" "&amp;"SEM-"&amp;F114&amp;" SKS-"&amp;G114&amp;" "&amp;"S"&amp;H114&amp;" "&amp;H114&amp;" "&amp;J114&amp;"/"&amp;L114))</f>
        <v>Sistem Tertanam* SEM-5 SKS-3 SD D HM/AAJ</v>
      </c>
      <c r="D114" s="14" t="str">
        <f>IF(J$110&gt;='TABLE SISTEM'!A$6,'TABLE MK'!A$19,"")</f>
        <v>INF-55201-304</v>
      </c>
      <c r="E114" s="14" t="str">
        <f>IF(D114="","",(VLOOKUP(D114,Table1[Kode MK]:Table1[[#All],[Kode MK]:[Mata Kuliah Prasyarat]],2,)))</f>
        <v>Sistem Tertanam*</v>
      </c>
      <c r="F114" s="15">
        <f>IF(D114="","",(VLOOKUP(D114,Table1[Kode MK]:Table1[[#All],[Kode MK]:[Mata Kuliah Prasyarat]],3,)))</f>
        <v>5</v>
      </c>
      <c r="G114" s="15">
        <f>IF(D114="","",(VLOOKUP(D114,Table1[Kode MK]:Table1[[#All],[Kode MK]:[Mata Kuliah Prasyarat]],4,)))</f>
        <v>3</v>
      </c>
      <c r="H114" s="15" t="str">
        <f>IF(D114="","","D")</f>
        <v>D</v>
      </c>
      <c r="I114" s="21" t="s">
        <v>125</v>
      </c>
      <c r="J114" s="17" t="str">
        <f>IF(I114="","",(VLOOKUP(I114,tbDosen[NAMA DOSEN]:tbDosen[[NAMA DOSEN]:[KODE]],2,)))</f>
        <v>HM</v>
      </c>
      <c r="K114" s="39" t="s">
        <v>334</v>
      </c>
      <c r="L114" s="17" t="str">
        <f>IF(K114="","",(VLOOKUP(K114,tbDosen[NAMA DOSEN]:tbDosen[[NAMA DOSEN]:[KODE]],2,)))</f>
        <v>AAJ</v>
      </c>
      <c r="M114" s="16" t="str">
        <f>IF(OR(I114="",I114="None"),"",IF(OR(K114="",K114="None"),I114,I114&amp;" / "&amp;K114))</f>
        <v>Hafiz Muhardi, S.T., M.Kom / Alfian Abdul Jalid, S.Kom., M.Cs.</v>
      </c>
      <c r="N114" s="16" t="str">
        <f t="shared" si="15"/>
        <v>HM / AAJ</v>
      </c>
      <c r="O114" s="18">
        <f>IF(OR(I114="",I114="None"),"",IF(OR(K114="",K114="None"),G114,G114/2))</f>
        <v>1.5</v>
      </c>
      <c r="P114" s="61" t="str">
        <f>IF(D114="","",(IF(AND(G114=4,U114&lt;2),"ADA",IF(AND(G114&lt;4,U114=0),"ADA","TIDAK"))))</f>
        <v>TIDAK</v>
      </c>
      <c r="Q114" s="203" t="str">
        <f t="shared" si="11"/>
        <v/>
      </c>
      <c r="R114" s="203" t="str">
        <f t="shared" si="12"/>
        <v/>
      </c>
      <c r="S114" s="203" t="str">
        <f t="shared" si="13"/>
        <v>Hafiz Muhardi, S.T., M.Kom</v>
      </c>
      <c r="T114" s="203" t="str">
        <f t="shared" si="14"/>
        <v>Alfian Abdul Jalid, S.Kom., M.Cs.</v>
      </c>
      <c r="U114" s="161">
        <v>1</v>
      </c>
      <c r="V114" s="164" t="str">
        <f t="shared" si="16"/>
        <v>PAS</v>
      </c>
      <c r="W114" s="11" t="str">
        <f t="shared" si="17"/>
        <v/>
      </c>
      <c r="X114" s="165">
        <v>20</v>
      </c>
      <c r="Y114" s="24"/>
    </row>
    <row r="115" spans="2:25" ht="45" customHeight="1" thickBot="1" x14ac:dyDescent="0.35">
      <c r="B115" s="24"/>
      <c r="C115" s="68" t="str">
        <f>IF(OR(I115="",I115="None"),"-",IF(OR(K115="",K115="None"),E115&amp;" "&amp;"SEM-"&amp;F115&amp;" "&amp;"SKS-"&amp;G115&amp;" "&amp;H115&amp;" "&amp;J115,E115&amp;" "&amp;"SEM-"&amp;F115&amp;" SKS-"&amp;G115&amp;" "&amp;"S"&amp;H115&amp;" "&amp;H115&amp;" "&amp;J115&amp;"/"&amp;L115))</f>
        <v>-</v>
      </c>
      <c r="D115" s="14" t="str">
        <f>IF(J$110&gt;='TABLE SISTEM'!A$7,'TABLE MK'!A$19,"")</f>
        <v/>
      </c>
      <c r="E115" s="14" t="str">
        <f>IF(D115="","",(VLOOKUP(D115,Table1[Kode MK]:Table1[[#All],[Kode MK]:[Mata Kuliah Prasyarat]],2,)))</f>
        <v/>
      </c>
      <c r="F115" s="15" t="str">
        <f>IF(D115="","",(VLOOKUP(D115,Table1[Kode MK]:Table1[[#All],[Kode MK]:[Mata Kuliah Prasyarat]],3,)))</f>
        <v/>
      </c>
      <c r="G115" s="15" t="str">
        <f>IF(D115="","",(VLOOKUP(D115,Table1[Kode MK]:Table1[[#All],[Kode MK]:[Mata Kuliah Prasyarat]],4,)))</f>
        <v/>
      </c>
      <c r="H115" s="15" t="str">
        <f>IF(D115="","","E")</f>
        <v/>
      </c>
      <c r="I115" s="44" t="s">
        <v>105</v>
      </c>
      <c r="J115" s="17" t="str">
        <f>IF(I115="","",(VLOOKUP(I115,tbDosen[NAMA DOSEN]:tbDosen[[NAMA DOSEN]:[KODE]],2,)))</f>
        <v>-</v>
      </c>
      <c r="K115" s="44" t="s">
        <v>105</v>
      </c>
      <c r="L115" s="17" t="str">
        <f>IF(K115="","",(VLOOKUP(K115,tbDosen[NAMA DOSEN]:tbDosen[[NAMA DOSEN]:[KODE]],2,)))</f>
        <v>-</v>
      </c>
      <c r="M115" s="16" t="str">
        <f>IF(OR(I115="",I115="None"),"",IF(OR(K115="",K115="None"),I115,I115&amp;" / "&amp;K115))</f>
        <v/>
      </c>
      <c r="N115" s="16" t="str">
        <f t="shared" si="15"/>
        <v/>
      </c>
      <c r="O115" s="18" t="str">
        <f>IF(OR(I115="",I115="None"),"",IF(OR(K115="",K115="None"),G115,G115/2))</f>
        <v/>
      </c>
      <c r="P115" s="62" t="str">
        <f>IF(D115="","",(IF(AND(G115=4,U115&lt;2),"ADA",IF(AND(G115&lt;4,U115=0),"ADA","TIDAK"))))</f>
        <v/>
      </c>
      <c r="Q115" s="203" t="str">
        <f t="shared" si="11"/>
        <v/>
      </c>
      <c r="R115" s="203" t="str">
        <f t="shared" si="12"/>
        <v/>
      </c>
      <c r="S115" s="203" t="str">
        <f t="shared" si="13"/>
        <v/>
      </c>
      <c r="T115" s="203" t="str">
        <f t="shared" si="14"/>
        <v/>
      </c>
      <c r="U115" s="161">
        <v>0</v>
      </c>
      <c r="V115" s="164" t="str">
        <f t="shared" si="16"/>
        <v/>
      </c>
      <c r="W115" s="11" t="str">
        <f t="shared" si="17"/>
        <v/>
      </c>
      <c r="X115" s="165"/>
      <c r="Y115" s="24"/>
    </row>
    <row r="116" spans="2:25" ht="45" customHeight="1" thickBot="1" x14ac:dyDescent="0.35">
      <c r="B116" s="24"/>
      <c r="C116" s="67"/>
      <c r="D116" s="41" t="s">
        <v>157</v>
      </c>
      <c r="E116" s="256" t="str">
        <f>'TABLE MK'!B20</f>
        <v>Kecerdasan Buatan</v>
      </c>
      <c r="F116" s="256"/>
      <c r="G116" s="256"/>
      <c r="H116" s="256"/>
      <c r="I116" s="41" t="s">
        <v>95</v>
      </c>
      <c r="J116" s="40">
        <v>4</v>
      </c>
      <c r="K116" s="42"/>
      <c r="L116" s="43"/>
      <c r="M116" s="43" t="s">
        <v>161</v>
      </c>
      <c r="N116" s="45"/>
      <c r="O116" s="42"/>
      <c r="P116" s="63"/>
      <c r="Q116" s="203" t="str">
        <f t="shared" si="11"/>
        <v/>
      </c>
      <c r="R116" s="203" t="str">
        <f t="shared" si="12"/>
        <v/>
      </c>
      <c r="S116" s="203" t="str">
        <f t="shared" si="13"/>
        <v>Jumlah Kelas</v>
      </c>
      <c r="T116" s="203">
        <f t="shared" si="14"/>
        <v>0</v>
      </c>
      <c r="U116" s="161">
        <v>0</v>
      </c>
      <c r="V116" s="164" t="str">
        <f t="shared" si="16"/>
        <v/>
      </c>
      <c r="W116" s="11" t="str">
        <f t="shared" si="17"/>
        <v/>
      </c>
      <c r="X116" s="165"/>
      <c r="Y116" s="24"/>
    </row>
    <row r="117" spans="2:25" ht="45" customHeight="1" thickBot="1" x14ac:dyDescent="0.35">
      <c r="B117" s="24"/>
      <c r="C117" s="68" t="str">
        <f>IF(OR(I117="",I117="None"),"-",IF(OR(K117="",K117="None"),E117&amp;" "&amp;"SEM-"&amp;F117&amp;" "&amp;"SKS-"&amp;G117&amp;" "&amp;H117&amp;" "&amp;J117,E117&amp;" "&amp;"SEM-"&amp;F117&amp;" SKS-"&amp;G117&amp;" "&amp;"S"&amp;H117&amp;" "&amp;H117&amp;" "&amp;J117&amp;"/"&amp;L117))</f>
        <v>Kecerdasan Buatan SEM-5 SKS-3 SA A YS/KH</v>
      </c>
      <c r="D117" t="str">
        <f>IF(J$116&gt;='TABLE SISTEM'!A$3,'TABLE MK'!A$20,"")</f>
        <v>INF-55201-305</v>
      </c>
      <c r="E117" s="14" t="str">
        <f>IF(D117="","",(VLOOKUP(D117,Table1[Kode MK]:Table1[[#All],[Kode MK]:[Mata Kuliah Prasyarat]],2,)))</f>
        <v>Kecerdasan Buatan</v>
      </c>
      <c r="F117" s="15">
        <f>IF(D117="","",(VLOOKUP(D117,Table1[Kode MK]:Table1[[#All],[Kode MK]:[Mata Kuliah Prasyarat]],3,)))</f>
        <v>5</v>
      </c>
      <c r="G117" s="15">
        <f>IF(D117="","",(VLOOKUP(D117,Table1[Kode MK]:Table1[[#All],[Kode MK]:[Mata Kuliah Prasyarat]],4,)))</f>
        <v>3</v>
      </c>
      <c r="H117" s="15" t="str">
        <f>IF(D117="","","A")</f>
        <v>A</v>
      </c>
      <c r="I117" s="39" t="s">
        <v>115</v>
      </c>
      <c r="J117" s="17" t="str">
        <f>IF(I117="","",(VLOOKUP(I117,tbDosen[NAMA DOSEN]:tbDosen[[NAMA DOSEN]:[KODE]],2,)))</f>
        <v>YS</v>
      </c>
      <c r="K117" s="39" t="s">
        <v>337</v>
      </c>
      <c r="L117" s="17" t="str">
        <f>IF(K117="","",(VLOOKUP(K117,tbDosen[NAMA DOSEN]:tbDosen[[NAMA DOSEN]:[KODE]],2,)))</f>
        <v>KH</v>
      </c>
      <c r="M117" s="16" t="str">
        <f>IF(OR(I117="",I117="None"),"",IF(OR(K117="",K117="None"),I117,I117&amp;" / "&amp;K117))</f>
        <v>Dr. Yus Sholva, S.T., M.T. / Khairul Hafidh, S.T., M.Kom.</v>
      </c>
      <c r="N117" s="16" t="str">
        <f t="shared" si="15"/>
        <v>YS / KH</v>
      </c>
      <c r="O117" s="18">
        <f>IF(OR(I117="",I117="None"),"",IF(OR(K117="",K117="None"),G117,G117/2))</f>
        <v>1.5</v>
      </c>
      <c r="P117" s="60" t="str">
        <f>IF(D117="","",(IF(AND(G117=4,U117&lt;2),"ADA",IF(AND(G117&lt;4,U117=0),"ADA","TIDAK"))))</f>
        <v>TIDAK</v>
      </c>
      <c r="Q117" s="203" t="str">
        <f t="shared" si="11"/>
        <v/>
      </c>
      <c r="R117" s="203" t="str">
        <f t="shared" si="12"/>
        <v/>
      </c>
      <c r="S117" s="203" t="str">
        <f t="shared" si="13"/>
        <v>Dr. Yus Sholva, S.T., M.T.</v>
      </c>
      <c r="T117" s="203" t="str">
        <f t="shared" si="14"/>
        <v>Khairul Hafidh, S.T., M.Kom.</v>
      </c>
      <c r="U117" s="161">
        <v>1</v>
      </c>
      <c r="V117" s="164" t="str">
        <f t="shared" si="16"/>
        <v>PAS</v>
      </c>
      <c r="W117" s="11" t="str">
        <f t="shared" si="17"/>
        <v/>
      </c>
      <c r="X117" s="165">
        <v>20</v>
      </c>
      <c r="Y117" s="24"/>
    </row>
    <row r="118" spans="2:25" ht="45" customHeight="1" thickBot="1" x14ac:dyDescent="0.35">
      <c r="B118" s="24"/>
      <c r="C118" s="68" t="str">
        <f>IF(OR(I118="",I118="None"),"-",IF(OR(K118="",K118="None"),E118&amp;" "&amp;"SEM-"&amp;F118&amp;" "&amp;"SKS-"&amp;G118&amp;" "&amp;H118&amp;" "&amp;J118,E118&amp;" "&amp;"SEM-"&amp;F118&amp;" SKS-"&amp;G118&amp;" "&amp;"S"&amp;H118&amp;" "&amp;H118&amp;" "&amp;J118&amp;"/"&amp;L118))</f>
        <v>Kecerdasan Buatan SEM-5 SKS-3 SB B TR/RS</v>
      </c>
      <c r="D118" t="str">
        <f>IF(J$116&gt;='TABLE SISTEM'!A$4,'TABLE MK'!A$20,"")</f>
        <v>INF-55201-305</v>
      </c>
      <c r="E118" s="14" t="str">
        <f>IF(D118="","",(VLOOKUP(D118,Table1[Kode MK]:Table1[[#All],[Kode MK]:[Mata Kuliah Prasyarat]],2,)))</f>
        <v>Kecerdasan Buatan</v>
      </c>
      <c r="F118" s="15">
        <f>IF(D118="","",(VLOOKUP(D118,Table1[Kode MK]:Table1[[#All],[Kode MK]:[Mata Kuliah Prasyarat]],3,)))</f>
        <v>5</v>
      </c>
      <c r="G118" s="15">
        <f>IF(D118="","",(VLOOKUP(D118,Table1[Kode MK]:Table1[[#All],[Kode MK]:[Mata Kuliah Prasyarat]],4,)))</f>
        <v>3</v>
      </c>
      <c r="H118" s="15" t="str">
        <f>IF(D118="","","B")</f>
        <v>B</v>
      </c>
      <c r="I118" s="21" t="s">
        <v>143</v>
      </c>
      <c r="J118" s="17" t="str">
        <f>IF(I118="","",(VLOOKUP(I118,tbDosen[NAMA DOSEN]:tbDosen[[NAMA DOSEN]:[KODE]],2,)))</f>
        <v>TR</v>
      </c>
      <c r="K118" s="21" t="s">
        <v>117</v>
      </c>
      <c r="L118" s="17" t="str">
        <f>IF(K118="","",(VLOOKUP(K118,tbDosen[NAMA DOSEN]:tbDosen[[NAMA DOSEN]:[KODE]],2,)))</f>
        <v>RS</v>
      </c>
      <c r="M118" s="16" t="str">
        <f>IF(OR(I118="",I118="None"),"",IF(OR(K118="",K118="None"),I118,I118&amp;" / "&amp;K118))</f>
        <v>Tursina ST, M.Cs / Rina Septiriana, S.T., M.Cs.</v>
      </c>
      <c r="N118" s="16" t="str">
        <f t="shared" si="15"/>
        <v>TR / RS</v>
      </c>
      <c r="O118" s="18">
        <f>IF(OR(I118="",I118="None"),"",IF(OR(K118="",K118="None"),G118,G118/2))</f>
        <v>1.5</v>
      </c>
      <c r="P118" s="61" t="str">
        <f>IF(D118="","",(IF(AND(G118=4,U118&lt;2),"ADA",IF(AND(G118&lt;4,U118=0),"ADA","TIDAK"))))</f>
        <v>TIDAK</v>
      </c>
      <c r="Q118" s="203" t="str">
        <f t="shared" si="11"/>
        <v/>
      </c>
      <c r="R118" s="203" t="str">
        <f t="shared" si="12"/>
        <v/>
      </c>
      <c r="S118" s="203" t="str">
        <f t="shared" si="13"/>
        <v>Tursina ST, M.Cs</v>
      </c>
      <c r="T118" s="203" t="str">
        <f t="shared" si="14"/>
        <v>Rina Septiriana, S.T., M.Cs.</v>
      </c>
      <c r="U118" s="161">
        <v>1</v>
      </c>
      <c r="V118" s="164" t="str">
        <f t="shared" si="16"/>
        <v>PAS</v>
      </c>
      <c r="W118" s="11" t="str">
        <f t="shared" si="17"/>
        <v/>
      </c>
      <c r="X118" s="165">
        <v>20</v>
      </c>
      <c r="Y118" s="24"/>
    </row>
    <row r="119" spans="2:25" ht="45" customHeight="1" thickBot="1" x14ac:dyDescent="0.35">
      <c r="B119" s="24"/>
      <c r="C119" s="68" t="str">
        <f>IF(OR(I119="",I119="None"),"-",IF(OR(K119="",K119="None"),E119&amp;" "&amp;"SEM-"&amp;F119&amp;" "&amp;"SKS-"&amp;G119&amp;" "&amp;H119&amp;" "&amp;J119,E119&amp;" "&amp;"SEM-"&amp;F119&amp;" SKS-"&amp;G119&amp;" "&amp;"S"&amp;H119&amp;" "&amp;H119&amp;" "&amp;J119&amp;"/"&amp;L119))</f>
        <v>Kecerdasan Buatan SEM-5 SKS-3 SC C TR/RS</v>
      </c>
      <c r="D119" t="str">
        <f>IF(J$116&gt;='TABLE SISTEM'!A$5,'TABLE MK'!A$20,"")</f>
        <v>INF-55201-305</v>
      </c>
      <c r="E119" s="14" t="str">
        <f>IF(D119="","",(VLOOKUP(D119,Table1[Kode MK]:Table1[[#All],[Kode MK]:[Mata Kuliah Prasyarat]],2,)))</f>
        <v>Kecerdasan Buatan</v>
      </c>
      <c r="F119" s="15">
        <f>IF(D119="","",(VLOOKUP(D119,Table1[Kode MK]:Table1[[#All],[Kode MK]:[Mata Kuliah Prasyarat]],3,)))</f>
        <v>5</v>
      </c>
      <c r="G119" s="15">
        <f>IF(D119="","",(VLOOKUP(D119,Table1[Kode MK]:Table1[[#All],[Kode MK]:[Mata Kuliah Prasyarat]],4,)))</f>
        <v>3</v>
      </c>
      <c r="H119" s="15" t="str">
        <f>IF(D119="","","C")</f>
        <v>C</v>
      </c>
      <c r="I119" s="21" t="s">
        <v>143</v>
      </c>
      <c r="J119" s="17" t="str">
        <f>IF(I119="","",(VLOOKUP(I119,tbDosen[NAMA DOSEN]:tbDosen[[NAMA DOSEN]:[KODE]],2,)))</f>
        <v>TR</v>
      </c>
      <c r="K119" s="21" t="s">
        <v>117</v>
      </c>
      <c r="L119" s="17" t="str">
        <f>IF(K119="","",(VLOOKUP(K119,tbDosen[NAMA DOSEN]:tbDosen[[NAMA DOSEN]:[KODE]],2,)))</f>
        <v>RS</v>
      </c>
      <c r="M119" s="16" t="str">
        <f>IF(OR(I119="",I119="None"),"",IF(OR(K119="",K119="None"),I119,I119&amp;" / "&amp;K119))</f>
        <v>Tursina ST, M.Cs / Rina Septiriana, S.T., M.Cs.</v>
      </c>
      <c r="N119" s="16" t="str">
        <f t="shared" si="15"/>
        <v>TR / RS</v>
      </c>
      <c r="O119" s="18">
        <f>IF(OR(I119="",I119="None"),"",IF(OR(K119="",K119="None"),G119,G119/2))</f>
        <v>1.5</v>
      </c>
      <c r="P119" s="61" t="str">
        <f>IF(D119="","",(IF(AND(G119=4,U119&lt;2),"ADA",IF(AND(G119&lt;4,U119=0),"ADA","TIDAK"))))</f>
        <v>TIDAK</v>
      </c>
      <c r="Q119" s="203" t="str">
        <f t="shared" si="11"/>
        <v/>
      </c>
      <c r="R119" s="203" t="str">
        <f t="shared" si="12"/>
        <v/>
      </c>
      <c r="S119" s="203" t="str">
        <f t="shared" si="13"/>
        <v>Tursina ST, M.Cs</v>
      </c>
      <c r="T119" s="203" t="str">
        <f t="shared" si="14"/>
        <v>Rina Septiriana, S.T., M.Cs.</v>
      </c>
      <c r="U119" s="161">
        <v>1</v>
      </c>
      <c r="V119" s="164" t="str">
        <f t="shared" si="16"/>
        <v>PAS</v>
      </c>
      <c r="W119" s="11" t="str">
        <f t="shared" si="17"/>
        <v/>
      </c>
      <c r="X119" s="165">
        <v>20</v>
      </c>
      <c r="Y119" s="24"/>
    </row>
    <row r="120" spans="2:25" ht="45" customHeight="1" thickBot="1" x14ac:dyDescent="0.35">
      <c r="B120" s="24"/>
      <c r="C120" s="68" t="str">
        <f>IF(OR(I120="",I120="None"),"-",IF(OR(K120="",K120="None"),E120&amp;" "&amp;"SEM-"&amp;F120&amp;" "&amp;"SKS-"&amp;G120&amp;" "&amp;H120&amp;" "&amp;J120,E120&amp;" "&amp;"SEM-"&amp;F120&amp;" SKS-"&amp;G120&amp;" "&amp;"S"&amp;H120&amp;" "&amp;H120&amp;" "&amp;J120&amp;"/"&amp;L120))</f>
        <v>Kecerdasan Buatan SEM-5 SKS-3 SD D TR/RS</v>
      </c>
      <c r="D120" t="str">
        <f>IF(J$116&gt;='TABLE SISTEM'!A$6,'TABLE MK'!A$20,"")</f>
        <v>INF-55201-305</v>
      </c>
      <c r="E120" s="14" t="str">
        <f>IF(D120="","",(VLOOKUP(D120,Table1[Kode MK]:Table1[[#All],[Kode MK]:[Mata Kuliah Prasyarat]],2,)))</f>
        <v>Kecerdasan Buatan</v>
      </c>
      <c r="F120" s="15">
        <f>IF(D120="","",(VLOOKUP(D120,Table1[Kode MK]:Table1[[#All],[Kode MK]:[Mata Kuliah Prasyarat]],3,)))</f>
        <v>5</v>
      </c>
      <c r="G120" s="15">
        <f>IF(D120="","",(VLOOKUP(D120,Table1[Kode MK]:Table1[[#All],[Kode MK]:[Mata Kuliah Prasyarat]],4,)))</f>
        <v>3</v>
      </c>
      <c r="H120" s="15" t="str">
        <f>IF(D120="","","D")</f>
        <v>D</v>
      </c>
      <c r="I120" s="21" t="s">
        <v>143</v>
      </c>
      <c r="J120" s="17" t="str">
        <f>IF(I120="","",(VLOOKUP(I120,tbDosen[NAMA DOSEN]:tbDosen[[NAMA DOSEN]:[KODE]],2,)))</f>
        <v>TR</v>
      </c>
      <c r="K120" s="21" t="s">
        <v>117</v>
      </c>
      <c r="L120" s="17" t="str">
        <f>IF(K120="","",(VLOOKUP(K120,tbDosen[NAMA DOSEN]:tbDosen[[NAMA DOSEN]:[KODE]],2,)))</f>
        <v>RS</v>
      </c>
      <c r="M120" s="16" t="str">
        <f>IF(OR(I120="",I120="None"),"",IF(OR(K120="",K120="None"),I120,I120&amp;" / "&amp;K120))</f>
        <v>Tursina ST, M.Cs / Rina Septiriana, S.T., M.Cs.</v>
      </c>
      <c r="N120" s="16" t="str">
        <f t="shared" si="15"/>
        <v>TR / RS</v>
      </c>
      <c r="O120" s="18">
        <f>IF(OR(I120="",I120="None"),"",IF(OR(K120="",K120="None"),G120,G120/2))</f>
        <v>1.5</v>
      </c>
      <c r="P120" s="61" t="str">
        <f>IF(D120="","",(IF(AND(G120=4,U120&lt;2),"ADA",IF(AND(G120&lt;4,U120=0),"ADA","TIDAK"))))</f>
        <v>TIDAK</v>
      </c>
      <c r="Q120" s="203" t="str">
        <f t="shared" si="11"/>
        <v/>
      </c>
      <c r="R120" s="203" t="str">
        <f t="shared" si="12"/>
        <v/>
      </c>
      <c r="S120" s="203" t="str">
        <f t="shared" si="13"/>
        <v>Tursina ST, M.Cs</v>
      </c>
      <c r="T120" s="203" t="str">
        <f t="shared" si="14"/>
        <v>Rina Septiriana, S.T., M.Cs.</v>
      </c>
      <c r="U120" s="161">
        <v>1</v>
      </c>
      <c r="V120" s="164" t="str">
        <f t="shared" si="16"/>
        <v>PAS</v>
      </c>
      <c r="W120" s="11" t="str">
        <f t="shared" si="17"/>
        <v/>
      </c>
      <c r="X120" s="165">
        <v>20</v>
      </c>
      <c r="Y120" s="24"/>
    </row>
    <row r="121" spans="2:25" ht="45" customHeight="1" thickBot="1" x14ac:dyDescent="0.35">
      <c r="B121" s="24"/>
      <c r="C121" s="68" t="str">
        <f>IF(OR(I121="",I121="None"),"-",IF(OR(K121="",K121="None"),E121&amp;" "&amp;"SEM-"&amp;F121&amp;" "&amp;"SKS-"&amp;G121&amp;" "&amp;H121&amp;" "&amp;J121,E121&amp;" "&amp;"SEM-"&amp;F121&amp;" SKS-"&amp;G121&amp;" "&amp;"S"&amp;H121&amp;" "&amp;H121&amp;" "&amp;J121&amp;"/"&amp;L121))</f>
        <v>-</v>
      </c>
      <c r="D121" t="str">
        <f>IF(J$116&gt;='TABLE SISTEM'!A$7,'TABLE MK'!A$20,"")</f>
        <v/>
      </c>
      <c r="E121" s="14" t="str">
        <f>IF(D121="","",(VLOOKUP(D121,Table1[Kode MK]:Table1[[#All],[Kode MK]:[Mata Kuliah Prasyarat]],2,)))</f>
        <v/>
      </c>
      <c r="F121" s="15" t="str">
        <f>IF(D121="","",(VLOOKUP(D121,Table1[Kode MK]:Table1[[#All],[Kode MK]:[Mata Kuliah Prasyarat]],3,)))</f>
        <v/>
      </c>
      <c r="G121" s="15" t="str">
        <f>IF(D121="","",(VLOOKUP(D121,Table1[Kode MK]:Table1[[#All],[Kode MK]:[Mata Kuliah Prasyarat]],4,)))</f>
        <v/>
      </c>
      <c r="H121" s="15" t="str">
        <f>IF(D121="","","E")</f>
        <v/>
      </c>
      <c r="I121" s="44" t="s">
        <v>105</v>
      </c>
      <c r="J121" s="17" t="str">
        <f>IF(I121="","",(VLOOKUP(I121,tbDosen[NAMA DOSEN]:tbDosen[[NAMA DOSEN]:[KODE]],2,)))</f>
        <v>-</v>
      </c>
      <c r="K121" s="44" t="s">
        <v>105</v>
      </c>
      <c r="L121" s="17" t="str">
        <f>IF(K121="","",(VLOOKUP(K121,tbDosen[NAMA DOSEN]:tbDosen[[NAMA DOSEN]:[KODE]],2,)))</f>
        <v>-</v>
      </c>
      <c r="M121" s="16" t="str">
        <f>IF(OR(I121="",I121="None"),"",IF(OR(K121="",K121="None"),I121,I121&amp;" / "&amp;K121))</f>
        <v/>
      </c>
      <c r="N121" s="16" t="str">
        <f t="shared" si="15"/>
        <v/>
      </c>
      <c r="O121" s="18" t="str">
        <f>IF(OR(I121="",I121="None"),"",IF(OR(K121="",K121="None"),G121,G121/2))</f>
        <v/>
      </c>
      <c r="P121" s="62" t="str">
        <f>IF(D121="","",(IF(AND(G121=4,U121&lt;2),"ADA",IF(AND(G121&lt;4,U121=0),"ADA","TIDAK"))))</f>
        <v/>
      </c>
      <c r="Q121" s="203" t="str">
        <f t="shared" si="11"/>
        <v/>
      </c>
      <c r="R121" s="203" t="str">
        <f t="shared" si="12"/>
        <v/>
      </c>
      <c r="S121" s="203" t="str">
        <f t="shared" si="13"/>
        <v/>
      </c>
      <c r="T121" s="203" t="str">
        <f t="shared" si="14"/>
        <v/>
      </c>
      <c r="U121" s="161">
        <v>0</v>
      </c>
      <c r="V121" s="164" t="str">
        <f t="shared" si="16"/>
        <v/>
      </c>
      <c r="W121" s="11" t="str">
        <f t="shared" si="17"/>
        <v/>
      </c>
      <c r="X121" s="165"/>
      <c r="Y121" s="24"/>
    </row>
    <row r="122" spans="2:25" ht="45" customHeight="1" thickBot="1" x14ac:dyDescent="0.35">
      <c r="B122" s="24"/>
      <c r="C122" s="67"/>
      <c r="D122" s="41" t="s">
        <v>157</v>
      </c>
      <c r="E122" s="256" t="str">
        <f>'TABLE MK'!B21</f>
        <v>Manajemen  Proyek  Perangkat  Lunak</v>
      </c>
      <c r="F122" s="256"/>
      <c r="G122" s="256"/>
      <c r="H122" s="256"/>
      <c r="I122" s="41" t="s">
        <v>95</v>
      </c>
      <c r="J122" s="40">
        <v>4</v>
      </c>
      <c r="K122" s="42"/>
      <c r="L122" s="43"/>
      <c r="M122" s="43" t="s">
        <v>161</v>
      </c>
      <c r="N122" s="45"/>
      <c r="O122" s="42"/>
      <c r="P122" s="63"/>
      <c r="Q122" s="203" t="str">
        <f t="shared" si="11"/>
        <v/>
      </c>
      <c r="R122" s="203" t="str">
        <f t="shared" si="12"/>
        <v/>
      </c>
      <c r="S122" s="203" t="str">
        <f t="shared" si="13"/>
        <v>Jumlah Kelas</v>
      </c>
      <c r="T122" s="203">
        <f t="shared" si="14"/>
        <v>0</v>
      </c>
      <c r="U122" s="161">
        <v>0</v>
      </c>
      <c r="V122" s="164" t="str">
        <f t="shared" si="16"/>
        <v/>
      </c>
      <c r="W122" s="11" t="str">
        <f t="shared" si="17"/>
        <v/>
      </c>
      <c r="X122" s="165"/>
      <c r="Y122" s="24"/>
    </row>
    <row r="123" spans="2:25" ht="87.6" thickBot="1" x14ac:dyDescent="0.35">
      <c r="B123" s="24"/>
      <c r="C123" s="68" t="str">
        <f>IF(OR(I123="",I123="None"),"-",IF(OR(K123="",K123="None"),E123&amp;" "&amp;"SEM-"&amp;F123&amp;" "&amp;"SKS-"&amp;G123&amp;" "&amp;H123&amp;" "&amp;J123,E123&amp;" "&amp;"SEM-"&amp;F123&amp;" SKS-"&amp;G123&amp;" "&amp;"S"&amp;H123&amp;" "&amp;H123&amp;" "&amp;J123&amp;"/"&amp;L123))</f>
        <v>Manajemen  Proyek  Perangkat  Lunak SEM-5 SKS-2 SA A AP/DIU</v>
      </c>
      <c r="D123" s="14" t="str">
        <f>IF(J$122&gt;='TABLE SISTEM'!A$3,'TABLE MK'!A$21,"")</f>
        <v>INF-55201-306</v>
      </c>
      <c r="E123" s="14" t="str">
        <f>IF(D123="","",(VLOOKUP(D123,Table1[Kode MK]:Table1[[#All],[Kode MK]:[Mata Kuliah Prasyarat]],2,)))</f>
        <v>Manajemen  Proyek  Perangkat  Lunak</v>
      </c>
      <c r="F123" s="15">
        <f>IF(D123="","",(VLOOKUP(D123,Table1[Kode MK]:Table1[[#All],[Kode MK]:[Mata Kuliah Prasyarat]],3,)))</f>
        <v>5</v>
      </c>
      <c r="G123" s="15">
        <f>IF(D123="","",(VLOOKUP(D123,Table1[Kode MK]:Table1[[#All],[Kode MK]:[Mata Kuliah Prasyarat]],4,)))</f>
        <v>2</v>
      </c>
      <c r="H123" s="15" t="str">
        <f>IF(D123="","","A")</f>
        <v>A</v>
      </c>
      <c r="I123" s="39" t="s">
        <v>107</v>
      </c>
      <c r="J123" s="17" t="str">
        <f>IF(I123="","",(VLOOKUP(I123,tbDosen[NAMA DOSEN]:tbDosen[[NAMA DOSEN]:[KODE]],2,)))</f>
        <v>AP</v>
      </c>
      <c r="K123" s="39" t="s">
        <v>335</v>
      </c>
      <c r="L123" s="17" t="str">
        <f>IF(K123="","",(VLOOKUP(K123,tbDosen[NAMA DOSEN]:tbDosen[[NAMA DOSEN]:[KODE]],2,)))</f>
        <v>DIU</v>
      </c>
      <c r="M123" s="16" t="str">
        <f>IF(OR(I123="",I123="None"),"",IF(OR(K123="",K123="None"),I123,I123&amp;" / "&amp;K123))</f>
        <v>Anggi Perwitasari, S.T., M.T. / Desepta Isna Ulumi, S.Kom, M.Kom.</v>
      </c>
      <c r="N123" s="16" t="str">
        <f t="shared" si="15"/>
        <v>AP / DIU</v>
      </c>
      <c r="O123" s="18">
        <f>IF(OR(I123="",I123="None"),"",IF(OR(K123="",K123="None"),G123,G123/2))</f>
        <v>1</v>
      </c>
      <c r="P123" s="60" t="str">
        <f>IF(D123="","",(IF(AND(G123=4,U123&lt;2),"ADA",IF(AND(G123&lt;4,U123=0),"ADA","TIDAK"))))</f>
        <v>TIDAK</v>
      </c>
      <c r="Q123" s="203" t="str">
        <f t="shared" si="11"/>
        <v/>
      </c>
      <c r="R123" s="203" t="str">
        <f t="shared" si="12"/>
        <v/>
      </c>
      <c r="S123" s="203" t="str">
        <f t="shared" si="13"/>
        <v>Anggi Perwitasari, S.T., M.T.</v>
      </c>
      <c r="T123" s="203" t="str">
        <f t="shared" si="14"/>
        <v>Desepta Isna Ulumi, S.Kom, M.Kom.</v>
      </c>
      <c r="U123" s="161">
        <v>1</v>
      </c>
      <c r="V123" s="164" t="str">
        <f t="shared" si="16"/>
        <v>PAS</v>
      </c>
      <c r="W123" s="11" t="str">
        <f t="shared" si="17"/>
        <v/>
      </c>
      <c r="X123" s="165">
        <v>20</v>
      </c>
      <c r="Y123" s="24"/>
    </row>
    <row r="124" spans="2:25" ht="45" customHeight="1" thickBot="1" x14ac:dyDescent="0.35">
      <c r="B124" s="24"/>
      <c r="C124" s="68" t="str">
        <f>IF(OR(I124="",I124="None"),"-",IF(OR(K124="",K124="None"),E124&amp;" "&amp;"SEM-"&amp;F124&amp;" "&amp;"SKS-"&amp;G124&amp;" "&amp;H124&amp;" "&amp;J124,E124&amp;" "&amp;"SEM-"&amp;F124&amp;" SKS-"&amp;G124&amp;" "&amp;"S"&amp;H124&amp;" "&amp;H124&amp;" "&amp;J124&amp;"/"&amp;L124))</f>
        <v>Manajemen  Proyek  Perangkat  Lunak SEM-5 SKS-2 SB B AP/DIU</v>
      </c>
      <c r="D124" s="14" t="str">
        <f>IF(J$122&gt;='TABLE SISTEM'!A$4,'TABLE MK'!A$21,"")</f>
        <v>INF-55201-306</v>
      </c>
      <c r="E124" s="14" t="str">
        <f>IF(D124="","",(VLOOKUP(D124,Table1[Kode MK]:Table1[[#All],[Kode MK]:[Mata Kuliah Prasyarat]],2,)))</f>
        <v>Manajemen  Proyek  Perangkat  Lunak</v>
      </c>
      <c r="F124" s="15">
        <f>IF(D124="","",(VLOOKUP(D124,Table1[Kode MK]:Table1[[#All],[Kode MK]:[Mata Kuliah Prasyarat]],3,)))</f>
        <v>5</v>
      </c>
      <c r="G124" s="15">
        <f>IF(D124="","",(VLOOKUP(D124,Table1[Kode MK]:Table1[[#All],[Kode MK]:[Mata Kuliah Prasyarat]],4,)))</f>
        <v>2</v>
      </c>
      <c r="H124" s="15" t="str">
        <f>IF(D124="","","B")</f>
        <v>B</v>
      </c>
      <c r="I124" s="21" t="s">
        <v>107</v>
      </c>
      <c r="J124" s="17" t="str">
        <f>IF(I124="","",(VLOOKUP(I124,tbDosen[NAMA DOSEN]:tbDosen[[NAMA DOSEN]:[KODE]],2,)))</f>
        <v>AP</v>
      </c>
      <c r="K124" s="39" t="s">
        <v>335</v>
      </c>
      <c r="L124" s="17" t="str">
        <f>IF(K124="","",(VLOOKUP(K124,tbDosen[NAMA DOSEN]:tbDosen[[NAMA DOSEN]:[KODE]],2,)))</f>
        <v>DIU</v>
      </c>
      <c r="M124" s="16" t="str">
        <f>IF(OR(I124="",I124="None"),"",IF(OR(K124="",K124="None"),I124,I124&amp;" / "&amp;K124))</f>
        <v>Anggi Perwitasari, S.T., M.T. / Desepta Isna Ulumi, S.Kom, M.Kom.</v>
      </c>
      <c r="N124" s="16" t="str">
        <f t="shared" si="15"/>
        <v>AP / DIU</v>
      </c>
      <c r="O124" s="18">
        <f>IF(OR(I124="",I124="None"),"",IF(OR(K124="",K124="None"),G124,G124/2))</f>
        <v>1</v>
      </c>
      <c r="P124" s="61" t="str">
        <f>IF(D124="","",(IF(AND(G124=4,U124&lt;2),"ADA",IF(AND(G124&lt;4,U124=0),"ADA","TIDAK"))))</f>
        <v>TIDAK</v>
      </c>
      <c r="Q124" s="203" t="str">
        <f t="shared" si="11"/>
        <v/>
      </c>
      <c r="R124" s="203" t="str">
        <f t="shared" si="12"/>
        <v/>
      </c>
      <c r="S124" s="203" t="str">
        <f t="shared" si="13"/>
        <v>Anggi Perwitasari, S.T., M.T.</v>
      </c>
      <c r="T124" s="203" t="str">
        <f t="shared" si="14"/>
        <v>Desepta Isna Ulumi, S.Kom, M.Kom.</v>
      </c>
      <c r="U124" s="161">
        <v>1</v>
      </c>
      <c r="V124" s="164" t="str">
        <f t="shared" si="16"/>
        <v>PAS</v>
      </c>
      <c r="W124" s="11" t="str">
        <f t="shared" si="17"/>
        <v/>
      </c>
      <c r="X124" s="165">
        <v>20</v>
      </c>
      <c r="Y124" s="24"/>
    </row>
    <row r="125" spans="2:25" ht="45" customHeight="1" thickBot="1" x14ac:dyDescent="0.35">
      <c r="B125" s="24"/>
      <c r="C125" s="68" t="str">
        <f>IF(OR(I125="",I125="None"),"-",IF(OR(K125="",K125="None"),E125&amp;" "&amp;"SEM-"&amp;F125&amp;" "&amp;"SKS-"&amp;G125&amp;" "&amp;H125&amp;" "&amp;J125,E125&amp;" "&amp;"SEM-"&amp;F125&amp;" SKS-"&amp;G125&amp;" "&amp;"S"&amp;H125&amp;" "&amp;H125&amp;" "&amp;J125&amp;"/"&amp;L125))</f>
        <v>Manajemen  Proyek  Perangkat  Lunak SEM-5 SKS-2 SC C AP/DIU</v>
      </c>
      <c r="D125" s="14" t="str">
        <f>IF(J$122&gt;='TABLE SISTEM'!A$5,'TABLE MK'!A$21,"")</f>
        <v>INF-55201-306</v>
      </c>
      <c r="E125" s="14" t="str">
        <f>IF(D125="","",(VLOOKUP(D125,Table1[Kode MK]:Table1[[#All],[Kode MK]:[Mata Kuliah Prasyarat]],2,)))</f>
        <v>Manajemen  Proyek  Perangkat  Lunak</v>
      </c>
      <c r="F125" s="15">
        <f>IF(D125="","",(VLOOKUP(D125,Table1[Kode MK]:Table1[[#All],[Kode MK]:[Mata Kuliah Prasyarat]],3,)))</f>
        <v>5</v>
      </c>
      <c r="G125" s="15">
        <f>IF(D125="","",(VLOOKUP(D125,Table1[Kode MK]:Table1[[#All],[Kode MK]:[Mata Kuliah Prasyarat]],4,)))</f>
        <v>2</v>
      </c>
      <c r="H125" s="15" t="str">
        <f>IF(D125="","","C")</f>
        <v>C</v>
      </c>
      <c r="I125" s="21" t="s">
        <v>107</v>
      </c>
      <c r="J125" s="17" t="str">
        <f>IF(I125="","",(VLOOKUP(I125,tbDosen[NAMA DOSEN]:tbDosen[[NAMA DOSEN]:[KODE]],2,)))</f>
        <v>AP</v>
      </c>
      <c r="K125" s="39" t="s">
        <v>335</v>
      </c>
      <c r="L125" s="17" t="str">
        <f>IF(K125="","",(VLOOKUP(K125,tbDosen[NAMA DOSEN]:tbDosen[[NAMA DOSEN]:[KODE]],2,)))</f>
        <v>DIU</v>
      </c>
      <c r="M125" s="16" t="str">
        <f>IF(OR(I125="",I125="None"),"",IF(OR(K125="",K125="None"),I125,I125&amp;" / "&amp;K125))</f>
        <v>Anggi Perwitasari, S.T., M.T. / Desepta Isna Ulumi, S.Kom, M.Kom.</v>
      </c>
      <c r="N125" s="16" t="str">
        <f t="shared" si="15"/>
        <v>AP / DIU</v>
      </c>
      <c r="O125" s="18">
        <f>IF(OR(I125="",I125="None"),"",IF(OR(K125="",K125="None"),G125,G125/2))</f>
        <v>1</v>
      </c>
      <c r="P125" s="61" t="str">
        <f>IF(D125="","",(IF(AND(G125=4,U125&lt;2),"ADA",IF(AND(G125&lt;4,U125=0),"ADA","TIDAK"))))</f>
        <v>TIDAK</v>
      </c>
      <c r="Q125" s="203" t="str">
        <f t="shared" si="11"/>
        <v/>
      </c>
      <c r="R125" s="203" t="str">
        <f t="shared" si="12"/>
        <v/>
      </c>
      <c r="S125" s="203" t="str">
        <f t="shared" si="13"/>
        <v>Anggi Perwitasari, S.T., M.T.</v>
      </c>
      <c r="T125" s="203" t="str">
        <f t="shared" si="14"/>
        <v>Desepta Isna Ulumi, S.Kom, M.Kom.</v>
      </c>
      <c r="U125" s="161">
        <v>1</v>
      </c>
      <c r="V125" s="164" t="str">
        <f t="shared" si="16"/>
        <v>PAS</v>
      </c>
      <c r="W125" s="11" t="str">
        <f t="shared" si="17"/>
        <v/>
      </c>
      <c r="X125" s="165">
        <v>20</v>
      </c>
      <c r="Y125" s="24"/>
    </row>
    <row r="126" spans="2:25" ht="45" customHeight="1" thickBot="1" x14ac:dyDescent="0.35">
      <c r="B126" s="24"/>
      <c r="C126" s="68" t="str">
        <f>IF(OR(I126="",I126="None"),"-",IF(OR(K126="",K126="None"),E126&amp;" "&amp;"SEM-"&amp;F126&amp;" "&amp;"SKS-"&amp;G126&amp;" "&amp;H126&amp;" "&amp;J126,E126&amp;" "&amp;"SEM-"&amp;F126&amp;" SKS-"&amp;G126&amp;" "&amp;"S"&amp;H126&amp;" "&amp;H126&amp;" "&amp;J126&amp;"/"&amp;L126))</f>
        <v>Manajemen  Proyek  Perangkat  Lunak SEM-5 SKS-2 SD D AP/DIU</v>
      </c>
      <c r="D126" s="14" t="str">
        <f>IF(J$122&gt;='TABLE SISTEM'!A$6,'TABLE MK'!A$21,"")</f>
        <v>INF-55201-306</v>
      </c>
      <c r="E126" s="14" t="str">
        <f>IF(D126="","",(VLOOKUP(D126,Table1[Kode MK]:Table1[[#All],[Kode MK]:[Mata Kuliah Prasyarat]],2,)))</f>
        <v>Manajemen  Proyek  Perangkat  Lunak</v>
      </c>
      <c r="F126" s="15">
        <f>IF(D126="","",(VLOOKUP(D126,Table1[Kode MK]:Table1[[#All],[Kode MK]:[Mata Kuliah Prasyarat]],3,)))</f>
        <v>5</v>
      </c>
      <c r="G126" s="15">
        <f>IF(D126="","",(VLOOKUP(D126,Table1[Kode MK]:Table1[[#All],[Kode MK]:[Mata Kuliah Prasyarat]],4,)))</f>
        <v>2</v>
      </c>
      <c r="H126" s="15" t="str">
        <f>IF(D126="","","D")</f>
        <v>D</v>
      </c>
      <c r="I126" s="44" t="s">
        <v>107</v>
      </c>
      <c r="J126" s="17" t="str">
        <f>IF(I126="","",(VLOOKUP(I126,tbDosen[NAMA DOSEN]:tbDosen[[NAMA DOSEN]:[KODE]],2,)))</f>
        <v>AP</v>
      </c>
      <c r="K126" s="39" t="s">
        <v>335</v>
      </c>
      <c r="L126" s="17" t="str">
        <f>IF(K126="","",(VLOOKUP(K126,tbDosen[NAMA DOSEN]:tbDosen[[NAMA DOSEN]:[KODE]],2,)))</f>
        <v>DIU</v>
      </c>
      <c r="M126" s="16" t="str">
        <f>IF(OR(I126="",I126="None"),"",IF(OR(K126="",K126="None"),I126,I126&amp;" / "&amp;K126))</f>
        <v>Anggi Perwitasari, S.T., M.T. / Desepta Isna Ulumi, S.Kom, M.Kom.</v>
      </c>
      <c r="N126" s="16" t="str">
        <f t="shared" si="15"/>
        <v>AP / DIU</v>
      </c>
      <c r="O126" s="18">
        <f>IF(OR(I126="",I126="None"),"",IF(OR(K126="",K126="None"),G126,G126/2))</f>
        <v>1</v>
      </c>
      <c r="P126" s="61" t="str">
        <f>IF(D126="","",(IF(AND(G126=4,U126&lt;2),"ADA",IF(AND(G126&lt;4,U126=0),"ADA","TIDAK"))))</f>
        <v>TIDAK</v>
      </c>
      <c r="Q126" s="203" t="str">
        <f t="shared" si="11"/>
        <v/>
      </c>
      <c r="R126" s="203" t="str">
        <f t="shared" si="12"/>
        <v/>
      </c>
      <c r="S126" s="203" t="str">
        <f t="shared" si="13"/>
        <v>Anggi Perwitasari, S.T., M.T.</v>
      </c>
      <c r="T126" s="203" t="str">
        <f t="shared" si="14"/>
        <v>Desepta Isna Ulumi, S.Kom, M.Kom.</v>
      </c>
      <c r="U126" s="161">
        <v>1</v>
      </c>
      <c r="V126" s="164" t="str">
        <f t="shared" si="16"/>
        <v>PAS</v>
      </c>
      <c r="W126" s="11" t="str">
        <f t="shared" si="17"/>
        <v/>
      </c>
      <c r="X126" s="165">
        <v>20</v>
      </c>
      <c r="Y126" s="24"/>
    </row>
    <row r="127" spans="2:25" ht="45" customHeight="1" thickBot="1" x14ac:dyDescent="0.35">
      <c r="B127" s="24"/>
      <c r="C127" s="68" t="str">
        <f>IF(OR(I127="",I127="None"),"-",IF(OR(K127="",K127="None"),E127&amp;" "&amp;"SEM-"&amp;F127&amp;" "&amp;"SKS-"&amp;G127&amp;" "&amp;H127&amp;" "&amp;J127,E127&amp;" "&amp;"SEM-"&amp;F127&amp;" SKS-"&amp;G127&amp;" "&amp;"S"&amp;H127&amp;" "&amp;H127&amp;" "&amp;J127&amp;"/"&amp;L127))</f>
        <v>-</v>
      </c>
      <c r="D127" s="14" t="str">
        <f>IF(J$122&gt;='TABLE SISTEM'!A$7,'TABLE MK'!A$21,"")</f>
        <v/>
      </c>
      <c r="E127" s="14" t="str">
        <f>IF(D127="","",(VLOOKUP(D127,Table1[Kode MK]:Table1[[#All],[Kode MK]:[Mata Kuliah Prasyarat]],2,)))</f>
        <v/>
      </c>
      <c r="F127" s="15" t="str">
        <f>IF(D127="","",(VLOOKUP(D127,Table1[Kode MK]:Table1[[#All],[Kode MK]:[Mata Kuliah Prasyarat]],3,)))</f>
        <v/>
      </c>
      <c r="G127" s="15" t="str">
        <f>IF(D127="","",(VLOOKUP(D127,Table1[Kode MK]:Table1[[#All],[Kode MK]:[Mata Kuliah Prasyarat]],4,)))</f>
        <v/>
      </c>
      <c r="H127" s="15" t="str">
        <f>IF(D127="","","E")</f>
        <v/>
      </c>
      <c r="I127" s="44" t="s">
        <v>105</v>
      </c>
      <c r="J127" s="17" t="str">
        <f>IF(I127="","",(VLOOKUP(I127,tbDosen[NAMA DOSEN]:tbDosen[[NAMA DOSEN]:[KODE]],2,)))</f>
        <v>-</v>
      </c>
      <c r="K127" s="44" t="s">
        <v>105</v>
      </c>
      <c r="L127" s="17" t="str">
        <f>IF(K127="","",(VLOOKUP(K127,tbDosen[NAMA DOSEN]:tbDosen[[NAMA DOSEN]:[KODE]],2,)))</f>
        <v>-</v>
      </c>
      <c r="M127" s="16" t="str">
        <f>IF(OR(I127="",I127="None"),"",IF(OR(K127="",K127="None"),I127,I127&amp;" / "&amp;K127))</f>
        <v/>
      </c>
      <c r="N127" s="16" t="str">
        <f t="shared" si="15"/>
        <v/>
      </c>
      <c r="O127" s="18" t="str">
        <f>IF(OR(I127="",I127="None"),"",IF(OR(K127="",K127="None"),G127,G127/2))</f>
        <v/>
      </c>
      <c r="P127" s="62" t="str">
        <f>IF(D127="","",(IF(AND(G127=4,U127&lt;2),"ADA",IF(AND(G127&lt;4,U127=0),"ADA","TIDAK"))))</f>
        <v/>
      </c>
      <c r="Q127" s="203" t="str">
        <f t="shared" si="11"/>
        <v/>
      </c>
      <c r="R127" s="203" t="str">
        <f t="shared" si="12"/>
        <v/>
      </c>
      <c r="S127" s="203" t="str">
        <f t="shared" si="13"/>
        <v/>
      </c>
      <c r="T127" s="203" t="str">
        <f t="shared" si="14"/>
        <v/>
      </c>
      <c r="U127" s="161">
        <v>0</v>
      </c>
      <c r="V127" s="164" t="str">
        <f t="shared" si="16"/>
        <v/>
      </c>
      <c r="W127" s="11" t="str">
        <f t="shared" si="17"/>
        <v/>
      </c>
      <c r="X127" s="165"/>
      <c r="Y127" s="24"/>
    </row>
    <row r="128" spans="2:25" ht="45" customHeight="1" thickBot="1" x14ac:dyDescent="0.35">
      <c r="B128" s="24"/>
      <c r="C128" s="67"/>
      <c r="D128" s="41" t="s">
        <v>157</v>
      </c>
      <c r="E128" s="256" t="str">
        <f>'TABLE MK'!B22</f>
        <v>Penulisan Proposal  Tugas  Akhir  </v>
      </c>
      <c r="F128" s="256"/>
      <c r="G128" s="256"/>
      <c r="H128" s="256"/>
      <c r="I128" s="41" t="s">
        <v>95</v>
      </c>
      <c r="J128" s="40">
        <v>4</v>
      </c>
      <c r="K128" s="42"/>
      <c r="L128" s="43"/>
      <c r="M128" s="43" t="s">
        <v>161</v>
      </c>
      <c r="N128" s="45"/>
      <c r="O128" s="42"/>
      <c r="P128" s="63"/>
      <c r="Q128" s="203" t="str">
        <f t="shared" si="11"/>
        <v/>
      </c>
      <c r="R128" s="203" t="str">
        <f t="shared" si="12"/>
        <v/>
      </c>
      <c r="S128" s="203" t="str">
        <f t="shared" si="13"/>
        <v>Jumlah Kelas</v>
      </c>
      <c r="T128" s="203">
        <f t="shared" si="14"/>
        <v>0</v>
      </c>
      <c r="U128" s="161">
        <v>0</v>
      </c>
      <c r="V128" s="164" t="str">
        <f t="shared" si="16"/>
        <v/>
      </c>
      <c r="W128" s="11" t="str">
        <f t="shared" si="17"/>
        <v/>
      </c>
      <c r="X128" s="165"/>
      <c r="Y128" s="24"/>
    </row>
    <row r="129" spans="2:25" ht="45" customHeight="1" thickBot="1" x14ac:dyDescent="0.35">
      <c r="B129" s="24"/>
      <c r="C129" s="68" t="str">
        <f>IF(OR(I129="",I129="None"),"-",IF(OR(K129="",K129="None"),E129&amp;" "&amp;"SEM-"&amp;F129&amp;" "&amp;"SKS-"&amp;G129&amp;" "&amp;H129&amp;" "&amp;J129,E129&amp;" "&amp;"SEM-"&amp;F129&amp;" SKS-"&amp;G129&amp;" "&amp;"S"&amp;H129&amp;" "&amp;H129&amp;" "&amp;J129&amp;"/"&amp;L129))</f>
        <v>Penulisan Proposal  Tugas  Akhir   SEM-5 SKS-2 A EFR</v>
      </c>
      <c r="D129" s="14" t="str">
        <f>IF(J$128&gt;='TABLE SISTEM'!A$3,'TABLE MK'!A$22,"")</f>
        <v>INF-55201-310</v>
      </c>
      <c r="E129" s="14" t="str">
        <f>IF(D129="","",(VLOOKUP(D129,Table1[Kode MK]:Table1[[#All],[Kode MK]:[Mata Kuliah Prasyarat]],2,)))</f>
        <v>Penulisan Proposal  Tugas  Akhir  </v>
      </c>
      <c r="F129" s="15">
        <f>IF(D129="","",(VLOOKUP(D129,Table1[Kode MK]:Table1[[#All],[Kode MK]:[Mata Kuliah Prasyarat]],3,)))</f>
        <v>5</v>
      </c>
      <c r="G129" s="15">
        <f>IF(D129="","",(VLOOKUP(D129,Table1[Kode MK]:Table1[[#All],[Kode MK]:[Mata Kuliah Prasyarat]],4,)))</f>
        <v>2</v>
      </c>
      <c r="H129" s="15" t="str">
        <f>IF(D129="","","A")</f>
        <v>A</v>
      </c>
      <c r="I129" s="39" t="s">
        <v>121</v>
      </c>
      <c r="J129" s="17" t="str">
        <f>IF(I129="","",(VLOOKUP(I129,tbDosen[NAMA DOSEN]:tbDosen[[NAMA DOSEN]:[KODE]],2,)))</f>
        <v>EFR</v>
      </c>
      <c r="K129" s="39" t="s">
        <v>105</v>
      </c>
      <c r="L129" s="17" t="str">
        <f>IF(K129="","",(VLOOKUP(K129,tbDosen[NAMA DOSEN]:tbDosen[[NAMA DOSEN]:[KODE]],2,)))</f>
        <v>-</v>
      </c>
      <c r="M129" s="16" t="str">
        <f>IF(OR(I129="",I129="None"),"",IF(OR(K129="",K129="None"),I129,I129&amp;" / "&amp;K129))</f>
        <v>Eva Faja Ripanti, S.Kom, MMSI, Ph.D</v>
      </c>
      <c r="N129" s="16" t="str">
        <f t="shared" si="15"/>
        <v>EFR</v>
      </c>
      <c r="O129" s="18">
        <f>IF(OR(I129="",I129="None"),"",IF(OR(K129="",K129="None"),G129,G129/2))</f>
        <v>2</v>
      </c>
      <c r="P129" s="60" t="str">
        <f>IF(D129="","",(IF(AND(G129=4,U129&lt;2),"ADA",IF(AND(G129&lt;4,U129=0),"ADA","TIDAK"))))</f>
        <v>TIDAK</v>
      </c>
      <c r="Q129" s="203" t="str">
        <f t="shared" si="11"/>
        <v/>
      </c>
      <c r="R129" s="203" t="str">
        <f t="shared" si="12"/>
        <v/>
      </c>
      <c r="S129" s="203" t="str">
        <f t="shared" si="13"/>
        <v/>
      </c>
      <c r="T129" s="203" t="str">
        <f t="shared" si="14"/>
        <v/>
      </c>
      <c r="U129" s="161">
        <v>1</v>
      </c>
      <c r="V129" s="164" t="str">
        <f t="shared" si="16"/>
        <v>PAS</v>
      </c>
      <c r="W129" s="11" t="str">
        <f t="shared" si="17"/>
        <v/>
      </c>
      <c r="X129" s="165">
        <v>20</v>
      </c>
      <c r="Y129" s="24"/>
    </row>
    <row r="130" spans="2:25" ht="45" customHeight="1" thickBot="1" x14ac:dyDescent="0.35">
      <c r="B130" s="24"/>
      <c r="C130" s="68" t="str">
        <f>IF(OR(I130="",I130="None"),"-",IF(OR(K130="",K130="None"),E130&amp;" "&amp;"SEM-"&amp;F130&amp;" "&amp;"SKS-"&amp;G130&amp;" "&amp;H130&amp;" "&amp;J130,E130&amp;" "&amp;"SEM-"&amp;F130&amp;" SKS-"&amp;G130&amp;" "&amp;"S"&amp;H130&amp;" "&amp;H130&amp;" "&amp;J130&amp;"/"&amp;L130))</f>
        <v>Penulisan Proposal  Tugas  Akhir   SEM-5 SKS-2 B YS</v>
      </c>
      <c r="D130" s="14" t="str">
        <f>IF(J$128&gt;='TABLE SISTEM'!A$4,'TABLE MK'!A$22,"")</f>
        <v>INF-55201-310</v>
      </c>
      <c r="E130" s="14" t="str">
        <f>IF(D130="","",(VLOOKUP(D130,Table1[Kode MK]:Table1[[#All],[Kode MK]:[Mata Kuliah Prasyarat]],2,)))</f>
        <v>Penulisan Proposal  Tugas  Akhir  </v>
      </c>
      <c r="F130" s="15">
        <f>IF(D130="","",(VLOOKUP(D130,Table1[Kode MK]:Table1[[#All],[Kode MK]:[Mata Kuliah Prasyarat]],3,)))</f>
        <v>5</v>
      </c>
      <c r="G130" s="15">
        <f>IF(D130="","",(VLOOKUP(D130,Table1[Kode MK]:Table1[[#All],[Kode MK]:[Mata Kuliah Prasyarat]],4,)))</f>
        <v>2</v>
      </c>
      <c r="H130" s="15" t="str">
        <f>IF(D130="","","B")</f>
        <v>B</v>
      </c>
      <c r="I130" s="21" t="s">
        <v>115</v>
      </c>
      <c r="J130" s="17" t="str">
        <f>IF(I130="","",(VLOOKUP(I130,tbDosen[NAMA DOSEN]:tbDosen[[NAMA DOSEN]:[KODE]],2,)))</f>
        <v>YS</v>
      </c>
      <c r="K130" s="21" t="s">
        <v>105</v>
      </c>
      <c r="L130" s="17" t="str">
        <f>IF(K130="","",(VLOOKUP(K130,tbDosen[NAMA DOSEN]:tbDosen[[NAMA DOSEN]:[KODE]],2,)))</f>
        <v>-</v>
      </c>
      <c r="M130" s="16" t="str">
        <f>IF(OR(I130="",I130="None"),"",IF(OR(K130="",K130="None"),I130,I130&amp;" / "&amp;K130))</f>
        <v>Dr. Yus Sholva, S.T., M.T.</v>
      </c>
      <c r="N130" s="16" t="str">
        <f t="shared" si="15"/>
        <v>YS</v>
      </c>
      <c r="O130" s="18">
        <f>IF(OR(I130="",I130="None"),"",IF(OR(K130="",K130="None"),G130,G130/2))</f>
        <v>2</v>
      </c>
      <c r="P130" s="61" t="str">
        <f>IF(D130="","",(IF(AND(G130=4,U130&lt;2),"ADA",IF(AND(G130&lt;4,U130=0),"ADA","TIDAK"))))</f>
        <v>TIDAK</v>
      </c>
      <c r="Q130" s="203" t="str">
        <f t="shared" si="11"/>
        <v/>
      </c>
      <c r="R130" s="203" t="str">
        <f t="shared" si="12"/>
        <v/>
      </c>
      <c r="S130" s="203" t="str">
        <f t="shared" si="13"/>
        <v/>
      </c>
      <c r="T130" s="203" t="str">
        <f t="shared" si="14"/>
        <v/>
      </c>
      <c r="U130" s="161">
        <v>1</v>
      </c>
      <c r="V130" s="164" t="str">
        <f t="shared" si="16"/>
        <v>PAS</v>
      </c>
      <c r="W130" s="11" t="str">
        <f t="shared" si="17"/>
        <v/>
      </c>
      <c r="X130" s="165">
        <v>20</v>
      </c>
      <c r="Y130" s="24"/>
    </row>
    <row r="131" spans="2:25" ht="45" customHeight="1" thickBot="1" x14ac:dyDescent="0.35">
      <c r="B131" s="24"/>
      <c r="C131" s="68" t="str">
        <f>IF(OR(I131="",I131="None"),"-",IF(OR(K131="",K131="None"),E131&amp;" "&amp;"SEM-"&amp;F131&amp;" "&amp;"SKS-"&amp;G131&amp;" "&amp;H131&amp;" "&amp;J131,E131&amp;" "&amp;"SEM-"&amp;F131&amp;" SKS-"&amp;G131&amp;" "&amp;"S"&amp;H131&amp;" "&amp;H131&amp;" "&amp;J131&amp;"/"&amp;L131))</f>
        <v>Penulisan Proposal  Tugas  Akhir   SEM-5 SKS-2 C EFR</v>
      </c>
      <c r="D131" s="14" t="str">
        <f>IF(J$128&gt;='TABLE SISTEM'!A$5,'TABLE MK'!A$22,"")</f>
        <v>INF-55201-310</v>
      </c>
      <c r="E131" s="14" t="str">
        <f>IF(D131="","",(VLOOKUP(D131,Table1[Kode MK]:Table1[[#All],[Kode MK]:[Mata Kuliah Prasyarat]],2,)))</f>
        <v>Penulisan Proposal  Tugas  Akhir  </v>
      </c>
      <c r="F131" s="15">
        <f>IF(D131="","",(VLOOKUP(D131,Table1[Kode MK]:Table1[[#All],[Kode MK]:[Mata Kuliah Prasyarat]],3,)))</f>
        <v>5</v>
      </c>
      <c r="G131" s="15">
        <f>IF(D131="","",(VLOOKUP(D131,Table1[Kode MK]:Table1[[#All],[Kode MK]:[Mata Kuliah Prasyarat]],4,)))</f>
        <v>2</v>
      </c>
      <c r="H131" s="15" t="str">
        <f>IF(D131="","","C")</f>
        <v>C</v>
      </c>
      <c r="I131" s="21" t="s">
        <v>121</v>
      </c>
      <c r="J131" s="17" t="str">
        <f>IF(I131="","",(VLOOKUP(I131,tbDosen[NAMA DOSEN]:tbDosen[[NAMA DOSEN]:[KODE]],2,)))</f>
        <v>EFR</v>
      </c>
      <c r="K131" s="21" t="s">
        <v>105</v>
      </c>
      <c r="L131" s="17" t="str">
        <f>IF(K131="","",(VLOOKUP(K131,tbDosen[NAMA DOSEN]:tbDosen[[NAMA DOSEN]:[KODE]],2,)))</f>
        <v>-</v>
      </c>
      <c r="M131" s="16" t="str">
        <f>IF(OR(I131="",I131="None"),"",IF(OR(K131="",K131="None"),I131,I131&amp;" / "&amp;K131))</f>
        <v>Eva Faja Ripanti, S.Kom, MMSI, Ph.D</v>
      </c>
      <c r="N131" s="16" t="str">
        <f t="shared" si="15"/>
        <v>EFR</v>
      </c>
      <c r="O131" s="18">
        <f>IF(OR(I131="",I131="None"),"",IF(OR(K131="",K131="None"),G131,G131/2))</f>
        <v>2</v>
      </c>
      <c r="P131" s="61" t="str">
        <f>IF(D131="","",(IF(AND(G131=4,U131&lt;2),"ADA",IF(AND(G131&lt;4,U131=0),"ADA","TIDAK"))))</f>
        <v>TIDAK</v>
      </c>
      <c r="Q131" s="203" t="str">
        <f t="shared" si="11"/>
        <v/>
      </c>
      <c r="R131" s="203" t="str">
        <f t="shared" si="12"/>
        <v/>
      </c>
      <c r="S131" s="203" t="str">
        <f t="shared" si="13"/>
        <v/>
      </c>
      <c r="T131" s="203" t="str">
        <f t="shared" si="14"/>
        <v/>
      </c>
      <c r="U131" s="161">
        <v>1</v>
      </c>
      <c r="V131" s="164" t="str">
        <f t="shared" si="16"/>
        <v>PAS</v>
      </c>
      <c r="W131" s="11" t="str">
        <f t="shared" si="17"/>
        <v/>
      </c>
      <c r="X131" s="165">
        <v>20</v>
      </c>
      <c r="Y131" s="24"/>
    </row>
    <row r="132" spans="2:25" ht="45" customHeight="1" thickBot="1" x14ac:dyDescent="0.35">
      <c r="B132" s="24"/>
      <c r="C132" s="68" t="str">
        <f>IF(OR(I132="",I132="None"),"-",IF(OR(K132="",K132="None"),E132&amp;" "&amp;"SEM-"&amp;F132&amp;" "&amp;"SKS-"&amp;G132&amp;" "&amp;H132&amp;" "&amp;J132,E132&amp;" "&amp;"SEM-"&amp;F132&amp;" SKS-"&amp;G132&amp;" "&amp;"S"&amp;H132&amp;" "&amp;H132&amp;" "&amp;J132&amp;"/"&amp;L132))</f>
        <v>Penulisan Proposal  Tugas  Akhir   SEM-5 SKS-2 D YS</v>
      </c>
      <c r="D132" s="14" t="str">
        <f>IF(J$128&gt;='TABLE SISTEM'!A$6,'TABLE MK'!A$22,"")</f>
        <v>INF-55201-310</v>
      </c>
      <c r="E132" s="14" t="str">
        <f>IF(D132="","",(VLOOKUP(D132,Table1[Kode MK]:Table1[[#All],[Kode MK]:[Mata Kuliah Prasyarat]],2,)))</f>
        <v>Penulisan Proposal  Tugas  Akhir  </v>
      </c>
      <c r="F132" s="15">
        <f>IF(D132="","",(VLOOKUP(D132,Table1[Kode MK]:Table1[[#All],[Kode MK]:[Mata Kuliah Prasyarat]],3,)))</f>
        <v>5</v>
      </c>
      <c r="G132" s="15">
        <f>IF(D132="","",(VLOOKUP(D132,Table1[Kode MK]:Table1[[#All],[Kode MK]:[Mata Kuliah Prasyarat]],4,)))</f>
        <v>2</v>
      </c>
      <c r="H132" s="15" t="str">
        <f>IF(D132="","","D")</f>
        <v>D</v>
      </c>
      <c r="I132" s="21" t="s">
        <v>115</v>
      </c>
      <c r="J132" s="17" t="str">
        <f>IF(I132="","",(VLOOKUP(I132,tbDosen[NAMA DOSEN]:tbDosen[[NAMA DOSEN]:[KODE]],2,)))</f>
        <v>YS</v>
      </c>
      <c r="K132" s="21" t="s">
        <v>105</v>
      </c>
      <c r="L132" s="17" t="str">
        <f>IF(K132="","",(VLOOKUP(K132,tbDosen[NAMA DOSEN]:tbDosen[[NAMA DOSEN]:[KODE]],2,)))</f>
        <v>-</v>
      </c>
      <c r="M132" s="16" t="str">
        <f>IF(OR(I132="",I132="None"),"",IF(OR(K132="",K132="None"),I132,I132&amp;" / "&amp;K132))</f>
        <v>Dr. Yus Sholva, S.T., M.T.</v>
      </c>
      <c r="N132" s="16" t="str">
        <f t="shared" si="15"/>
        <v>YS</v>
      </c>
      <c r="O132" s="18">
        <f>IF(OR(I132="",I132="None"),"",IF(OR(K132="",K132="None"),G132,G132/2))</f>
        <v>2</v>
      </c>
      <c r="P132" s="61" t="str">
        <f>IF(D132="","",(IF(AND(G132=4,U132&lt;2),"ADA",IF(AND(G132&lt;4,U132=0),"ADA","TIDAK"))))</f>
        <v>TIDAK</v>
      </c>
      <c r="Q132" s="203" t="str">
        <f t="shared" si="11"/>
        <v/>
      </c>
      <c r="R132" s="203" t="str">
        <f t="shared" si="12"/>
        <v/>
      </c>
      <c r="S132" s="203" t="str">
        <f t="shared" si="13"/>
        <v/>
      </c>
      <c r="T132" s="203" t="str">
        <f t="shared" si="14"/>
        <v/>
      </c>
      <c r="U132" s="161">
        <v>1</v>
      </c>
      <c r="V132" s="164" t="str">
        <f t="shared" si="16"/>
        <v>PAS</v>
      </c>
      <c r="W132" s="11" t="str">
        <f t="shared" si="17"/>
        <v/>
      </c>
      <c r="X132" s="165">
        <v>20</v>
      </c>
      <c r="Y132" s="24"/>
    </row>
    <row r="133" spans="2:25" ht="45" customHeight="1" thickBot="1" x14ac:dyDescent="0.35">
      <c r="B133" s="24"/>
      <c r="C133" s="68" t="str">
        <f>IF(OR(I133="",I133="None"),"-",IF(OR(K133="",K133="None"),E133&amp;" "&amp;"SEM-"&amp;F133&amp;" "&amp;"SKS-"&amp;G133&amp;" "&amp;H133&amp;" "&amp;J133,E133&amp;" "&amp;"SEM-"&amp;F133&amp;" SKS-"&amp;G133&amp;" "&amp;"S"&amp;H133&amp;" "&amp;H133&amp;" "&amp;J133&amp;"/"&amp;L133))</f>
        <v>-</v>
      </c>
      <c r="D133" s="14" t="str">
        <f>IF(J$128&gt;='TABLE SISTEM'!A$7,'TABLE MK'!A$22,"")</f>
        <v/>
      </c>
      <c r="E133" s="14" t="str">
        <f>IF(D133="","",(VLOOKUP(D133,Table1[Kode MK]:Table1[[#All],[Kode MK]:[Mata Kuliah Prasyarat]],2,)))</f>
        <v/>
      </c>
      <c r="F133" s="15" t="str">
        <f>IF(D133="","",(VLOOKUP(D133,Table1[Kode MK]:Table1[[#All],[Kode MK]:[Mata Kuliah Prasyarat]],3,)))</f>
        <v/>
      </c>
      <c r="G133" s="15" t="str">
        <f>IF(D133="","",(VLOOKUP(D133,Table1[Kode MK]:Table1[[#All],[Kode MK]:[Mata Kuliah Prasyarat]],4,)))</f>
        <v/>
      </c>
      <c r="H133" s="15" t="str">
        <f>IF(D133="","","E")</f>
        <v/>
      </c>
      <c r="I133" s="44" t="s">
        <v>105</v>
      </c>
      <c r="J133" s="17" t="str">
        <f>IF(I133="","",(VLOOKUP(I133,tbDosen[NAMA DOSEN]:tbDosen[[NAMA DOSEN]:[KODE]],2,)))</f>
        <v>-</v>
      </c>
      <c r="K133" s="44" t="s">
        <v>105</v>
      </c>
      <c r="L133" s="17" t="str">
        <f>IF(K133="","",(VLOOKUP(K133,tbDosen[NAMA DOSEN]:tbDosen[[NAMA DOSEN]:[KODE]],2,)))</f>
        <v>-</v>
      </c>
      <c r="M133" s="16" t="str">
        <f>IF(OR(I133="",I133="None"),"",IF(OR(K133="",K133="None"),I133,I133&amp;" / "&amp;K133))</f>
        <v/>
      </c>
      <c r="N133" s="16" t="str">
        <f t="shared" si="15"/>
        <v/>
      </c>
      <c r="O133" s="18" t="str">
        <f>IF(OR(I133="",I133="None"),"",IF(OR(K133="",K133="None"),G133,G133/2))</f>
        <v/>
      </c>
      <c r="P133" s="62" t="str">
        <f>IF(D133="","",(IF(AND(G133=4,U133&lt;2),"ADA",IF(AND(G133&lt;4,U133=0),"ADA","TIDAK"))))</f>
        <v/>
      </c>
      <c r="Q133" s="203" t="str">
        <f t="shared" si="11"/>
        <v/>
      </c>
      <c r="R133" s="203" t="str">
        <f t="shared" si="12"/>
        <v/>
      </c>
      <c r="S133" s="203" t="str">
        <f t="shared" si="13"/>
        <v/>
      </c>
      <c r="T133" s="203" t="str">
        <f t="shared" si="14"/>
        <v/>
      </c>
      <c r="U133" s="161">
        <v>0</v>
      </c>
      <c r="V133" s="164" t="str">
        <f t="shared" si="16"/>
        <v/>
      </c>
      <c r="W133" s="11" t="str">
        <f t="shared" si="17"/>
        <v/>
      </c>
      <c r="X133" s="165"/>
      <c r="Y133" s="24"/>
    </row>
    <row r="134" spans="2:25" ht="45" customHeight="1" thickBot="1" x14ac:dyDescent="0.35">
      <c r="B134" s="24"/>
      <c r="C134" s="67"/>
      <c r="D134" s="41" t="s">
        <v>157</v>
      </c>
      <c r="E134" s="256" t="str">
        <f>'TABLE MK'!B23</f>
        <v>Riset Operasi</v>
      </c>
      <c r="F134" s="256"/>
      <c r="G134" s="256"/>
      <c r="H134" s="256"/>
      <c r="I134" s="41" t="s">
        <v>95</v>
      </c>
      <c r="J134" s="40">
        <v>3</v>
      </c>
      <c r="K134" s="42"/>
      <c r="L134" s="43"/>
      <c r="M134" s="43" t="s">
        <v>161</v>
      </c>
      <c r="N134" s="45"/>
      <c r="O134" s="42"/>
      <c r="P134" s="63"/>
      <c r="Q134" s="203" t="str">
        <f t="shared" si="11"/>
        <v/>
      </c>
      <c r="R134" s="203" t="str">
        <f t="shared" si="12"/>
        <v/>
      </c>
      <c r="S134" s="203" t="str">
        <f t="shared" si="13"/>
        <v>Jumlah Kelas</v>
      </c>
      <c r="T134" s="203">
        <f t="shared" si="14"/>
        <v>0</v>
      </c>
      <c r="U134" s="161">
        <v>0</v>
      </c>
      <c r="V134" s="164" t="str">
        <f t="shared" si="16"/>
        <v/>
      </c>
      <c r="W134" s="11" t="str">
        <f t="shared" si="17"/>
        <v/>
      </c>
      <c r="X134" s="165"/>
      <c r="Y134" s="24"/>
    </row>
    <row r="135" spans="2:25" ht="45" customHeight="1" thickBot="1" x14ac:dyDescent="0.35">
      <c r="B135" s="24"/>
      <c r="C135" s="68" t="str">
        <f>IF(OR(I135="",I135="None"),"-",IF(OR(K135="",K135="None"),E135&amp;" "&amp;"SEM-"&amp;F135&amp;" "&amp;"SKS-"&amp;G135&amp;" "&amp;H135&amp;" "&amp;J135,E135&amp;" "&amp;"SEM-"&amp;F135&amp;" SKS-"&amp;G135&amp;" "&amp;"S"&amp;H135&amp;" "&amp;H135&amp;" "&amp;J135&amp;"/"&amp;L135))</f>
        <v>Riset Operasi SEM-5 SKS-2 SA A EFR/KH</v>
      </c>
      <c r="D135" s="14" t="str">
        <f>IF(J$134&gt;='TABLE SISTEM'!A$3,'TABLE MK'!A$23,"")</f>
        <v>INF-55201-311</v>
      </c>
      <c r="E135" s="14" t="str">
        <f>IF(D135="","",(VLOOKUP(D135,Table1[Kode MK]:Table1[[#All],[Kode MK]:[Mata Kuliah Prasyarat]],2,)))</f>
        <v>Riset Operasi</v>
      </c>
      <c r="F135" s="15">
        <f>IF(D135="","",(VLOOKUP(D135,Table1[Kode MK]:Table1[[#All],[Kode MK]:[Mata Kuliah Prasyarat]],3,)))</f>
        <v>5</v>
      </c>
      <c r="G135" s="15">
        <f>IF(D135="","",(VLOOKUP(D135,Table1[Kode MK]:Table1[[#All],[Kode MK]:[Mata Kuliah Prasyarat]],4,)))</f>
        <v>2</v>
      </c>
      <c r="H135" s="15" t="str">
        <f>IF(D135="","","A")</f>
        <v>A</v>
      </c>
      <c r="I135" s="39" t="s">
        <v>121</v>
      </c>
      <c r="J135" s="17" t="str">
        <f>IF(I135="","",(VLOOKUP(I135,tbDosen[NAMA DOSEN]:tbDosen[[NAMA DOSEN]:[KODE]],2,)))</f>
        <v>EFR</v>
      </c>
      <c r="K135" s="39" t="s">
        <v>337</v>
      </c>
      <c r="L135" s="17" t="str">
        <f>IF(K135="","",(VLOOKUP(K135,tbDosen[NAMA DOSEN]:tbDosen[[NAMA DOSEN]:[KODE]],2,)))</f>
        <v>KH</v>
      </c>
      <c r="M135" s="16" t="str">
        <f>IF(OR(I135="",I135="None"),"",IF(OR(K135="",K135="None"),I135,I135&amp;" / "&amp;K135))</f>
        <v>Eva Faja Ripanti, S.Kom, MMSI, Ph.D / Khairul Hafidh, S.T., M.Kom.</v>
      </c>
      <c r="N135" s="16" t="str">
        <f t="shared" si="15"/>
        <v>EFR / KH</v>
      </c>
      <c r="O135" s="18">
        <f>IF(OR(I135="",I135="None"),"",IF(OR(K135="",K135="None"),G135,G135/2))</f>
        <v>1</v>
      </c>
      <c r="P135" s="60" t="str">
        <f>IF(D135="","",(IF(AND(G135=4,U135&lt;2),"ADA",IF(AND(G135&lt;4,U135=0),"ADA","TIDAK"))))</f>
        <v>TIDAK</v>
      </c>
      <c r="Q135" s="203" t="str">
        <f t="shared" si="11"/>
        <v/>
      </c>
      <c r="R135" s="203" t="str">
        <f t="shared" si="12"/>
        <v/>
      </c>
      <c r="S135" s="203" t="str">
        <f t="shared" si="13"/>
        <v>Eva Faja Ripanti, S.Kom, MMSI, Ph.D</v>
      </c>
      <c r="T135" s="203" t="str">
        <f t="shared" si="14"/>
        <v>Khairul Hafidh, S.T., M.Kom.</v>
      </c>
      <c r="U135" s="161">
        <v>1</v>
      </c>
      <c r="V135" s="164" t="str">
        <f t="shared" si="16"/>
        <v>PAS</v>
      </c>
      <c r="W135" s="11" t="str">
        <f t="shared" si="17"/>
        <v/>
      </c>
      <c r="X135" s="165">
        <v>20</v>
      </c>
      <c r="Y135" s="24"/>
    </row>
    <row r="136" spans="2:25" ht="45" customHeight="1" thickBot="1" x14ac:dyDescent="0.35">
      <c r="B136" s="24"/>
      <c r="C136" s="68" t="str">
        <f>IF(OR(I136="",I136="None"),"-",IF(OR(K136="",K136="None"),E136&amp;" "&amp;"SEM-"&amp;F136&amp;" "&amp;"SKS-"&amp;G136&amp;" "&amp;H136&amp;" "&amp;J136,E136&amp;" "&amp;"SEM-"&amp;F136&amp;" SKS-"&amp;G136&amp;" "&amp;"S"&amp;H136&amp;" "&amp;H136&amp;" "&amp;J136&amp;"/"&amp;L136))</f>
        <v>Riset Operasi SEM-5 SKS-2 SB B EFR/KH</v>
      </c>
      <c r="D136" s="14" t="str">
        <f>IF(J$134&gt;='TABLE SISTEM'!A$4,'TABLE MK'!A$23,"")</f>
        <v>INF-55201-311</v>
      </c>
      <c r="E136" s="14" t="str">
        <f>IF(D136="","",(VLOOKUP(D136,Table1[Kode MK]:Table1[[#All],[Kode MK]:[Mata Kuliah Prasyarat]],2,)))</f>
        <v>Riset Operasi</v>
      </c>
      <c r="F136" s="15">
        <f>IF(D136="","",(VLOOKUP(D136,Table1[Kode MK]:Table1[[#All],[Kode MK]:[Mata Kuliah Prasyarat]],3,)))</f>
        <v>5</v>
      </c>
      <c r="G136" s="15">
        <f>IF(D136="","",(VLOOKUP(D136,Table1[Kode MK]:Table1[[#All],[Kode MK]:[Mata Kuliah Prasyarat]],4,)))</f>
        <v>2</v>
      </c>
      <c r="H136" s="15" t="str">
        <f>IF(D136="","","B")</f>
        <v>B</v>
      </c>
      <c r="I136" s="21" t="s">
        <v>121</v>
      </c>
      <c r="J136" s="17" t="str">
        <f>IF(I136="","",(VLOOKUP(I136,tbDosen[NAMA DOSEN]:tbDosen[[NAMA DOSEN]:[KODE]],2,)))</f>
        <v>EFR</v>
      </c>
      <c r="K136" s="39" t="s">
        <v>337</v>
      </c>
      <c r="L136" s="17" t="str">
        <f>IF(K136="","",(VLOOKUP(K136,tbDosen[NAMA DOSEN]:tbDosen[[NAMA DOSEN]:[KODE]],2,)))</f>
        <v>KH</v>
      </c>
      <c r="M136" s="16" t="str">
        <f>IF(OR(I136="",I136="None"),"",IF(OR(K136="",K136="None"),I136,I136&amp;" / "&amp;K136))</f>
        <v>Eva Faja Ripanti, S.Kom, MMSI, Ph.D / Khairul Hafidh, S.T., M.Kom.</v>
      </c>
      <c r="N136" s="16" t="str">
        <f t="shared" si="15"/>
        <v>EFR / KH</v>
      </c>
      <c r="O136" s="18">
        <f>IF(OR(I136="",I136="None"),"",IF(OR(K136="",K136="None"),G136,G136/2))</f>
        <v>1</v>
      </c>
      <c r="P136" s="61" t="str">
        <f>IF(D136="","",(IF(AND(G136=4,U136&lt;2),"ADA",IF(AND(G136&lt;4,U136=0),"ADA","TIDAK"))))</f>
        <v>TIDAK</v>
      </c>
      <c r="Q136" s="203" t="str">
        <f t="shared" si="11"/>
        <v/>
      </c>
      <c r="R136" s="203" t="str">
        <f t="shared" si="12"/>
        <v/>
      </c>
      <c r="S136" s="203" t="str">
        <f t="shared" si="13"/>
        <v>Eva Faja Ripanti, S.Kom, MMSI, Ph.D</v>
      </c>
      <c r="T136" s="203" t="str">
        <f t="shared" si="14"/>
        <v>Khairul Hafidh, S.T., M.Kom.</v>
      </c>
      <c r="U136" s="161">
        <v>1</v>
      </c>
      <c r="V136" s="164" t="str">
        <f t="shared" si="16"/>
        <v>PAS</v>
      </c>
      <c r="W136" s="11" t="str">
        <f t="shared" si="17"/>
        <v/>
      </c>
      <c r="X136" s="165">
        <v>20</v>
      </c>
      <c r="Y136" s="24"/>
    </row>
    <row r="137" spans="2:25" ht="45" customHeight="1" thickBot="1" x14ac:dyDescent="0.35">
      <c r="B137" s="24"/>
      <c r="C137" s="68" t="str">
        <f>IF(OR(I137="",I137="None"),"-",IF(OR(K137="",K137="None"),E137&amp;" "&amp;"SEM-"&amp;F137&amp;" "&amp;"SKS-"&amp;G137&amp;" "&amp;H137&amp;" "&amp;J137,E137&amp;" "&amp;"SEM-"&amp;F137&amp;" SKS-"&amp;G137&amp;" "&amp;"S"&amp;H137&amp;" "&amp;H137&amp;" "&amp;J137&amp;"/"&amp;L137))</f>
        <v>Riset Operasi SEM-5 SKS-2 SC C EFR/KH</v>
      </c>
      <c r="D137" s="14" t="str">
        <f>IF(J$134&gt;='TABLE SISTEM'!A$5,'TABLE MK'!A$23,"")</f>
        <v>INF-55201-311</v>
      </c>
      <c r="E137" s="14" t="str">
        <f>IF(D137="","",(VLOOKUP(D137,Table1[Kode MK]:Table1[[#All],[Kode MK]:[Mata Kuliah Prasyarat]],2,)))</f>
        <v>Riset Operasi</v>
      </c>
      <c r="F137" s="15">
        <f>IF(D137="","",(VLOOKUP(D137,Table1[Kode MK]:Table1[[#All],[Kode MK]:[Mata Kuliah Prasyarat]],3,)))</f>
        <v>5</v>
      </c>
      <c r="G137" s="15">
        <f>IF(D137="","",(VLOOKUP(D137,Table1[Kode MK]:Table1[[#All],[Kode MK]:[Mata Kuliah Prasyarat]],4,)))</f>
        <v>2</v>
      </c>
      <c r="H137" s="15" t="str">
        <f>IF(D137="","","C")</f>
        <v>C</v>
      </c>
      <c r="I137" s="21" t="s">
        <v>121</v>
      </c>
      <c r="J137" s="17" t="str">
        <f>IF(I137="","",(VLOOKUP(I137,tbDosen[NAMA DOSEN]:tbDosen[[NAMA DOSEN]:[KODE]],2,)))</f>
        <v>EFR</v>
      </c>
      <c r="K137" s="39" t="s">
        <v>337</v>
      </c>
      <c r="L137" s="17" t="str">
        <f>IF(K137="","",(VLOOKUP(K137,tbDosen[NAMA DOSEN]:tbDosen[[NAMA DOSEN]:[KODE]],2,)))</f>
        <v>KH</v>
      </c>
      <c r="M137" s="16" t="str">
        <f>IF(OR(I137="",I137="None"),"",IF(OR(K137="",K137="None"),I137,I137&amp;" / "&amp;K137))</f>
        <v>Eva Faja Ripanti, S.Kom, MMSI, Ph.D / Khairul Hafidh, S.T., M.Kom.</v>
      </c>
      <c r="N137" s="16" t="str">
        <f t="shared" si="15"/>
        <v>EFR / KH</v>
      </c>
      <c r="O137" s="18">
        <f>IF(OR(I137="",I137="None"),"",IF(OR(K137="",K137="None"),G137,G137/2))</f>
        <v>1</v>
      </c>
      <c r="P137" s="61" t="str">
        <f>IF(D137="","",(IF(AND(G137=4,U137&lt;2),"ADA",IF(AND(G137&lt;4,U137=0),"ADA","TIDAK"))))</f>
        <v>TIDAK</v>
      </c>
      <c r="Q137" s="203" t="str">
        <f t="shared" si="11"/>
        <v/>
      </c>
      <c r="R137" s="203" t="str">
        <f t="shared" si="12"/>
        <v/>
      </c>
      <c r="S137" s="203" t="str">
        <f t="shared" si="13"/>
        <v>Eva Faja Ripanti, S.Kom, MMSI, Ph.D</v>
      </c>
      <c r="T137" s="203" t="str">
        <f t="shared" si="14"/>
        <v>Khairul Hafidh, S.T., M.Kom.</v>
      </c>
      <c r="U137" s="161">
        <v>1</v>
      </c>
      <c r="V137" s="164" t="str">
        <f t="shared" ref="V137:V168" si="18">IF(G137="","",IF(OR(G137=2,G137=3),IF((U137&lt;1),"KURANG",IF(U137&gt;1,"LEBIH","PAS")),IF(G137=4,IF(U137&lt;2,"KURANG",IF(U137&gt;2,"LEBIH","PAS")))))</f>
        <v>PAS</v>
      </c>
      <c r="W137" s="11" t="str">
        <f t="shared" ref="W137:W168" si="19">IF(P137="ADA",C137,"")</f>
        <v/>
      </c>
      <c r="X137" s="165">
        <v>20</v>
      </c>
      <c r="Y137" s="24"/>
    </row>
    <row r="138" spans="2:25" ht="45" customHeight="1" thickBot="1" x14ac:dyDescent="0.35">
      <c r="B138" s="24"/>
      <c r="C138" s="68" t="str">
        <f>IF(OR(I138="",I138="None"),"-",IF(OR(K138="",K138="None"),E138&amp;" "&amp;"SEM-"&amp;F138&amp;" "&amp;"SKS-"&amp;G138&amp;" "&amp;H138&amp;" "&amp;J138,E138&amp;" "&amp;"SEM-"&amp;F138&amp;" SKS-"&amp;G138&amp;" "&amp;"S"&amp;H138&amp;" "&amp;H138&amp;" "&amp;J138&amp;"/"&amp;L138))</f>
        <v>-</v>
      </c>
      <c r="D138" s="14" t="str">
        <f>IF(J$134&gt;='TABLE SISTEM'!A$6,'TABLE MK'!A$23,"")</f>
        <v/>
      </c>
      <c r="E138" s="14" t="str">
        <f>IF(D138="","",(VLOOKUP(D138,Table1[Kode MK]:Table1[[#All],[Kode MK]:[Mata Kuliah Prasyarat]],2,)))</f>
        <v/>
      </c>
      <c r="F138" s="15" t="str">
        <f>IF(D138="","",(VLOOKUP(D138,Table1[Kode MK]:Table1[[#All],[Kode MK]:[Mata Kuliah Prasyarat]],3,)))</f>
        <v/>
      </c>
      <c r="G138" s="15" t="str">
        <f>IF(D138="","",(VLOOKUP(D138,Table1[Kode MK]:Table1[[#All],[Kode MK]:[Mata Kuliah Prasyarat]],4,)))</f>
        <v/>
      </c>
      <c r="H138" s="15" t="str">
        <f>IF(D138="","","D")</f>
        <v/>
      </c>
      <c r="I138" s="21" t="s">
        <v>105</v>
      </c>
      <c r="J138" s="17" t="str">
        <f>IF(I138="","",(VLOOKUP(I138,tbDosen[NAMA DOSEN]:tbDosen[[NAMA DOSEN]:[KODE]],2,)))</f>
        <v>-</v>
      </c>
      <c r="K138" s="44" t="s">
        <v>105</v>
      </c>
      <c r="L138" s="17" t="str">
        <f>IF(K138="","",(VLOOKUP(K138,tbDosen[NAMA DOSEN]:tbDosen[[NAMA DOSEN]:[KODE]],2,)))</f>
        <v>-</v>
      </c>
      <c r="M138" s="16" t="str">
        <f>IF(OR(I138="",I138="None"),"",IF(OR(K138="",K138="None"),I138,I138&amp;" / "&amp;K138))</f>
        <v/>
      </c>
      <c r="N138" s="16" t="str">
        <f t="shared" ref="N138:N163" si="20">IF(AND(J138&lt;&gt;"-",L138&lt;&gt;"-"),J138&amp;" / "&amp;L138,IF(AND(J138&lt;&gt;"-",L138="-"),J138,""))</f>
        <v/>
      </c>
      <c r="O138" s="18" t="str">
        <f>IF(OR(I138="",I138="None"),"",IF(OR(K138="",K138="None"),G138,G138/2))</f>
        <v/>
      </c>
      <c r="P138" s="61" t="str">
        <f>IF(D138="","",(IF(AND(G138=4,U138&lt;2),"ADA",IF(AND(G138&lt;4,U138=0),"ADA","TIDAK"))))</f>
        <v/>
      </c>
      <c r="Q138" s="203" t="str">
        <f t="shared" ref="Q138:Q145" si="21">IF(G138=4,I138,"")</f>
        <v/>
      </c>
      <c r="R138" s="203" t="str">
        <f t="shared" ref="R138:R145" si="22">IF(G138=4,K138,"")</f>
        <v/>
      </c>
      <c r="S138" s="203" t="str">
        <f t="shared" ref="S138:S145" si="23">IF(AND(I138&lt;&gt;"None",K138&lt;&gt;"None"),I138,"")</f>
        <v/>
      </c>
      <c r="T138" s="203" t="str">
        <f t="shared" ref="T138:T145" si="24">IF(AND(I138&lt;&gt;"None",K138&lt;&gt;"None"),K138,"")</f>
        <v/>
      </c>
      <c r="U138" s="161">
        <v>0</v>
      </c>
      <c r="V138" s="164" t="str">
        <f t="shared" si="18"/>
        <v/>
      </c>
      <c r="W138" s="11" t="str">
        <f t="shared" si="19"/>
        <v/>
      </c>
      <c r="X138" s="165">
        <v>20</v>
      </c>
      <c r="Y138" s="24"/>
    </row>
    <row r="139" spans="2:25" ht="45" customHeight="1" thickBot="1" x14ac:dyDescent="0.35">
      <c r="B139" s="24"/>
      <c r="C139" s="68" t="str">
        <f>IF(OR(I139="",I139="None"),"-",IF(OR(K139="",K139="None"),E139&amp;" "&amp;"SEM-"&amp;F139&amp;" "&amp;"SKS-"&amp;G139&amp;" "&amp;H139&amp;" "&amp;J139,E139&amp;" "&amp;"SEM-"&amp;F139&amp;" SKS-"&amp;G139&amp;" "&amp;"S"&amp;H139&amp;" "&amp;H139&amp;" "&amp;J139&amp;"/"&amp;L139))</f>
        <v>-</v>
      </c>
      <c r="D139" s="14" t="str">
        <f>IF(J$134&gt;='TABLE SISTEM'!A$7,'TABLE MK'!A$23,"")</f>
        <v/>
      </c>
      <c r="E139" s="14" t="str">
        <f>IF(D139="","",(VLOOKUP(D139,Table1[Kode MK]:Table1[[#All],[Kode MK]:[Mata Kuliah Prasyarat]],2,)))</f>
        <v/>
      </c>
      <c r="F139" s="15" t="str">
        <f>IF(D139="","",(VLOOKUP(D139,Table1[Kode MK]:Table1[[#All],[Kode MK]:[Mata Kuliah Prasyarat]],3,)))</f>
        <v/>
      </c>
      <c r="G139" s="15" t="str">
        <f>IF(D139="","",(VLOOKUP(D139,Table1[Kode MK]:Table1[[#All],[Kode MK]:[Mata Kuliah Prasyarat]],4,)))</f>
        <v/>
      </c>
      <c r="H139" s="15" t="str">
        <f>IF(D139="","","E")</f>
        <v/>
      </c>
      <c r="I139" s="44" t="s">
        <v>105</v>
      </c>
      <c r="J139" s="17" t="str">
        <f>IF(I139="","",(VLOOKUP(I139,tbDosen[NAMA DOSEN]:tbDosen[[NAMA DOSEN]:[KODE]],2,)))</f>
        <v>-</v>
      </c>
      <c r="K139" s="44" t="s">
        <v>105</v>
      </c>
      <c r="L139" s="17" t="str">
        <f>IF(K139="","",(VLOOKUP(K139,tbDosen[NAMA DOSEN]:tbDosen[[NAMA DOSEN]:[KODE]],2,)))</f>
        <v>-</v>
      </c>
      <c r="M139" s="16" t="str">
        <f>IF(OR(I139="",I139="None"),"",IF(OR(K139="",K139="None"),I139,I139&amp;" / "&amp;K139))</f>
        <v/>
      </c>
      <c r="N139" s="16" t="str">
        <f t="shared" si="20"/>
        <v/>
      </c>
      <c r="O139" s="18" t="str">
        <f>IF(OR(I139="",I139="None"),"",IF(OR(K139="",K139="None"),G139,G139/2))</f>
        <v/>
      </c>
      <c r="P139" s="62" t="str">
        <f>IF(D139="","",(IF(AND(G139=4,U139&lt;2),"ADA",IF(AND(G139&lt;4,U139=0),"ADA","TIDAK"))))</f>
        <v/>
      </c>
      <c r="Q139" s="203" t="str">
        <f t="shared" si="21"/>
        <v/>
      </c>
      <c r="R139" s="203" t="str">
        <f t="shared" si="22"/>
        <v/>
      </c>
      <c r="S139" s="203" t="str">
        <f t="shared" si="23"/>
        <v/>
      </c>
      <c r="T139" s="203" t="str">
        <f t="shared" si="24"/>
        <v/>
      </c>
      <c r="U139" s="161">
        <v>0</v>
      </c>
      <c r="V139" s="164" t="str">
        <f t="shared" si="18"/>
        <v/>
      </c>
      <c r="W139" s="11" t="str">
        <f t="shared" si="19"/>
        <v/>
      </c>
      <c r="X139" s="165"/>
      <c r="Y139" s="24"/>
    </row>
    <row r="140" spans="2:25" ht="45" customHeight="1" thickBot="1" x14ac:dyDescent="0.35">
      <c r="B140" s="24"/>
      <c r="C140" s="67"/>
      <c r="D140" s="41" t="s">
        <v>157</v>
      </c>
      <c r="E140" s="256" t="str">
        <f>'TABLE MK'!B24</f>
        <v>Teknopreneur*</v>
      </c>
      <c r="F140" s="256"/>
      <c r="G140" s="256"/>
      <c r="H140" s="256"/>
      <c r="I140" s="41" t="s">
        <v>95</v>
      </c>
      <c r="J140" s="40">
        <v>4</v>
      </c>
      <c r="K140" s="42"/>
      <c r="L140" s="43"/>
      <c r="M140" s="43" t="s">
        <v>161</v>
      </c>
      <c r="N140" s="45"/>
      <c r="O140" s="42"/>
      <c r="P140" s="63"/>
      <c r="Q140" s="203" t="str">
        <f t="shared" si="21"/>
        <v/>
      </c>
      <c r="R140" s="203" t="str">
        <f t="shared" si="22"/>
        <v/>
      </c>
      <c r="S140" s="203" t="str">
        <f t="shared" si="23"/>
        <v>Jumlah Kelas</v>
      </c>
      <c r="T140" s="203">
        <f t="shared" si="24"/>
        <v>0</v>
      </c>
      <c r="U140" s="161">
        <v>0</v>
      </c>
      <c r="V140" s="164" t="str">
        <f t="shared" si="18"/>
        <v/>
      </c>
      <c r="W140" s="11" t="str">
        <f t="shared" si="19"/>
        <v/>
      </c>
      <c r="X140" s="165"/>
      <c r="Y140" s="24"/>
    </row>
    <row r="141" spans="2:25" ht="45" customHeight="1" thickBot="1" x14ac:dyDescent="0.35">
      <c r="B141" s="24"/>
      <c r="C141" s="68" t="str">
        <f>IF(OR(I141="",I141="None"),"-",IF(OR(K141="",K141="None"),E141&amp;" "&amp;"SEM-"&amp;F141&amp;" "&amp;"SKS-"&amp;G141&amp;" "&amp;H141&amp;" "&amp;J141,E141&amp;" "&amp;"SEM-"&amp;F141&amp;" SKS-"&amp;G141&amp;" "&amp;"S"&amp;H141&amp;" "&amp;H141&amp;" "&amp;J141&amp;"/"&amp;L141))</f>
        <v>Teknopreneur* SEM-7 SKS-3 A RDN</v>
      </c>
      <c r="D141" s="14" t="str">
        <f>IF(J$140&gt;='TABLE SISTEM'!A$3,'TABLE MK'!A$24,"")</f>
        <v>INF-55201-401</v>
      </c>
      <c r="E141" s="14" t="str">
        <f>IF(D141="","",(VLOOKUP(D141,Table1[Kode MK]:Table1[[#All],[Kode MK]:[Mata Kuliah Prasyarat]],2,)))</f>
        <v>Teknopreneur*</v>
      </c>
      <c r="F141" s="15">
        <f>IF(D141="","",(VLOOKUP(D141,Table1[Kode MK]:Table1[[#All],[Kode MK]:[Mata Kuliah Prasyarat]],3,)))</f>
        <v>7</v>
      </c>
      <c r="G141" s="15">
        <f>IF(D141="","",(VLOOKUP(D141,Table1[Kode MK]:Table1[[#All],[Kode MK]:[Mata Kuliah Prasyarat]],4,)))</f>
        <v>3</v>
      </c>
      <c r="H141" s="15" t="str">
        <f>IF(D141="","","A")</f>
        <v>A</v>
      </c>
      <c r="I141" s="39" t="s">
        <v>141</v>
      </c>
      <c r="J141" s="17" t="str">
        <f>IF(I141="","",(VLOOKUP(I141,tbDosen[NAMA DOSEN]:tbDosen[[NAMA DOSEN]:[KODE]],2,)))</f>
        <v>RDN</v>
      </c>
      <c r="K141" s="39" t="s">
        <v>105</v>
      </c>
      <c r="L141" s="17" t="str">
        <f>IF(K141="","",(VLOOKUP(K141,tbDosen[NAMA DOSEN]:tbDosen[[NAMA DOSEN]:[KODE]],2,)))</f>
        <v>-</v>
      </c>
      <c r="M141" s="16" t="str">
        <f>IF(OR(I141="",I141="None"),"",IF(OR(K141="",K141="None"),I141,I141&amp;" / "&amp;K141))</f>
        <v>Rudy Dwi Nyoto, S.T., M.Eng</v>
      </c>
      <c r="N141" s="16" t="str">
        <f t="shared" si="20"/>
        <v>RDN</v>
      </c>
      <c r="O141" s="18">
        <f>IF(OR(I141="",I141="None"),"",IF(OR(K141="",K141="None"),G141,G141/2))</f>
        <v>3</v>
      </c>
      <c r="P141" s="60" t="str">
        <f>IF(D141="","",(IF(AND(G141=4,U141&lt;2),"ADA",IF(AND(G141&lt;4,U141=0),"ADA","TIDAK"))))</f>
        <v>TIDAK</v>
      </c>
      <c r="Q141" s="203" t="str">
        <f t="shared" si="21"/>
        <v/>
      </c>
      <c r="R141" s="203" t="str">
        <f t="shared" si="22"/>
        <v/>
      </c>
      <c r="S141" s="203" t="str">
        <f t="shared" si="23"/>
        <v/>
      </c>
      <c r="T141" s="203" t="str">
        <f t="shared" si="24"/>
        <v/>
      </c>
      <c r="U141" s="161">
        <v>1</v>
      </c>
      <c r="V141" s="164" t="str">
        <f t="shared" si="18"/>
        <v>PAS</v>
      </c>
      <c r="W141" s="11" t="str">
        <f t="shared" si="19"/>
        <v/>
      </c>
      <c r="X141" s="165">
        <v>20</v>
      </c>
      <c r="Y141" s="24"/>
    </row>
    <row r="142" spans="2:25" ht="45" customHeight="1" thickBot="1" x14ac:dyDescent="0.35">
      <c r="B142" s="24"/>
      <c r="C142" s="68" t="str">
        <f>IF(OR(I142="",I142="None"),"-",IF(OR(K142="",K142="None"),E142&amp;" "&amp;"SEM-"&amp;F142&amp;" "&amp;"SKS-"&amp;G142&amp;" "&amp;H142&amp;" "&amp;J142,E142&amp;" "&amp;"SEM-"&amp;F142&amp;" SKS-"&amp;G142&amp;" "&amp;"S"&amp;H142&amp;" "&amp;H142&amp;" "&amp;J142&amp;"/"&amp;L142))</f>
        <v>Teknopreneur* SEM-7 SKS-3 B RDN</v>
      </c>
      <c r="D142" s="14" t="str">
        <f>IF(J$140&gt;='TABLE SISTEM'!A$4,'TABLE MK'!A$24,"")</f>
        <v>INF-55201-401</v>
      </c>
      <c r="E142" s="14" t="str">
        <f>IF(D142="","",(VLOOKUP(D142,Table1[Kode MK]:Table1[[#All],[Kode MK]:[Mata Kuliah Prasyarat]],2,)))</f>
        <v>Teknopreneur*</v>
      </c>
      <c r="F142" s="15">
        <f>IF(D142="","",(VLOOKUP(D142,Table1[Kode MK]:Table1[[#All],[Kode MK]:[Mata Kuliah Prasyarat]],3,)))</f>
        <v>7</v>
      </c>
      <c r="G142" s="15">
        <f>IF(D142="","",(VLOOKUP(D142,Table1[Kode MK]:Table1[[#All],[Kode MK]:[Mata Kuliah Prasyarat]],4,)))</f>
        <v>3</v>
      </c>
      <c r="H142" s="15" t="str">
        <f>IF(D142="","","B")</f>
        <v>B</v>
      </c>
      <c r="I142" s="39" t="s">
        <v>141</v>
      </c>
      <c r="J142" s="17" t="str">
        <f>IF(I142="","",(VLOOKUP(I142,tbDosen[NAMA DOSEN]:tbDosen[[NAMA DOSEN]:[KODE]],2,)))</f>
        <v>RDN</v>
      </c>
      <c r="K142" s="39" t="s">
        <v>105</v>
      </c>
      <c r="L142" s="17" t="str">
        <f>IF(K142="","",(VLOOKUP(K142,tbDosen[NAMA DOSEN]:tbDosen[[NAMA DOSEN]:[KODE]],2,)))</f>
        <v>-</v>
      </c>
      <c r="M142" s="16" t="str">
        <f>IF(OR(I142="",I142="None"),"",IF(OR(K142="",K142="None"),I142,I142&amp;" / "&amp;K142))</f>
        <v>Rudy Dwi Nyoto, S.T., M.Eng</v>
      </c>
      <c r="N142" s="16" t="str">
        <f t="shared" si="20"/>
        <v>RDN</v>
      </c>
      <c r="O142" s="18">
        <f>IF(OR(I142="",I142="None"),"",IF(OR(K142="",K142="None"),G142,G142/2))</f>
        <v>3</v>
      </c>
      <c r="P142" s="61" t="str">
        <f>IF(D142="","",(IF(AND(G142=4,U142&lt;2),"ADA",IF(AND(G142&lt;4,U142=0),"ADA","TIDAK"))))</f>
        <v>TIDAK</v>
      </c>
      <c r="Q142" s="203" t="str">
        <f t="shared" si="21"/>
        <v/>
      </c>
      <c r="R142" s="203" t="str">
        <f t="shared" si="22"/>
        <v/>
      </c>
      <c r="S142" s="203" t="str">
        <f t="shared" si="23"/>
        <v/>
      </c>
      <c r="T142" s="203" t="str">
        <f t="shared" si="24"/>
        <v/>
      </c>
      <c r="U142" s="161">
        <v>1</v>
      </c>
      <c r="V142" s="164" t="str">
        <f t="shared" si="18"/>
        <v>PAS</v>
      </c>
      <c r="W142" s="11" t="str">
        <f t="shared" si="19"/>
        <v/>
      </c>
      <c r="X142" s="165">
        <v>20</v>
      </c>
      <c r="Y142" s="24"/>
    </row>
    <row r="143" spans="2:25" ht="45" customHeight="1" thickBot="1" x14ac:dyDescent="0.35">
      <c r="B143" s="24"/>
      <c r="C143" s="68" t="str">
        <f>IF(OR(I143="",I143="None"),"-",IF(OR(K143="",K143="None"),E143&amp;" "&amp;"SEM-"&amp;F143&amp;" "&amp;"SKS-"&amp;G143&amp;" "&amp;H143&amp;" "&amp;J143,E143&amp;" "&amp;"SEM-"&amp;F143&amp;" SKS-"&amp;G143&amp;" "&amp;"S"&amp;H143&amp;" "&amp;H143&amp;" "&amp;J143&amp;"/"&amp;L143))</f>
        <v>Teknopreneur* SEM-7 SKS-3 C RDN</v>
      </c>
      <c r="D143" s="14" t="str">
        <f>IF(J$140&gt;='TABLE SISTEM'!A$5,'TABLE MK'!A$24,"")</f>
        <v>INF-55201-401</v>
      </c>
      <c r="E143" s="14" t="str">
        <f>IF(D143="","",(VLOOKUP(D143,Table1[Kode MK]:Table1[[#All],[Kode MK]:[Mata Kuliah Prasyarat]],2,)))</f>
        <v>Teknopreneur*</v>
      </c>
      <c r="F143" s="15">
        <f>IF(D143="","",(VLOOKUP(D143,Table1[Kode MK]:Table1[[#All],[Kode MK]:[Mata Kuliah Prasyarat]],3,)))</f>
        <v>7</v>
      </c>
      <c r="G143" s="15">
        <f>IF(D143="","",(VLOOKUP(D143,Table1[Kode MK]:Table1[[#All],[Kode MK]:[Mata Kuliah Prasyarat]],4,)))</f>
        <v>3</v>
      </c>
      <c r="H143" s="15" t="str">
        <f>IF(D143="","","C")</f>
        <v>C</v>
      </c>
      <c r="I143" s="21" t="s">
        <v>141</v>
      </c>
      <c r="J143" s="17" t="str">
        <f>IF(I143="","",(VLOOKUP(I143,tbDosen[NAMA DOSEN]:tbDosen[[NAMA DOSEN]:[KODE]],2,)))</f>
        <v>RDN</v>
      </c>
      <c r="K143" s="21" t="s">
        <v>105</v>
      </c>
      <c r="L143" s="17" t="str">
        <f>IF(K143="","",(VLOOKUP(K143,tbDosen[NAMA DOSEN]:tbDosen[[NAMA DOSEN]:[KODE]],2,)))</f>
        <v>-</v>
      </c>
      <c r="M143" s="16" t="str">
        <f>IF(OR(I143="",I143="None"),"",IF(OR(K143="",K143="None"),I143,I143&amp;" / "&amp;K143))</f>
        <v>Rudy Dwi Nyoto, S.T., M.Eng</v>
      </c>
      <c r="N143" s="16" t="str">
        <f t="shared" si="20"/>
        <v>RDN</v>
      </c>
      <c r="O143" s="18">
        <f>IF(OR(I143="",I143="None"),"",IF(OR(K143="",K143="None"),G143,G143/2))</f>
        <v>3</v>
      </c>
      <c r="P143" s="61" t="str">
        <f>IF(D143="","",(IF(AND(G143=4,U143&lt;2),"ADA",IF(AND(G143&lt;4,U143=0),"ADA","TIDAK"))))</f>
        <v>TIDAK</v>
      </c>
      <c r="Q143" s="203" t="str">
        <f t="shared" si="21"/>
        <v/>
      </c>
      <c r="R143" s="203" t="str">
        <f t="shared" si="22"/>
        <v/>
      </c>
      <c r="S143" s="203" t="str">
        <f t="shared" si="23"/>
        <v/>
      </c>
      <c r="T143" s="203" t="str">
        <f t="shared" si="24"/>
        <v/>
      </c>
      <c r="U143" s="161">
        <v>1</v>
      </c>
      <c r="V143" s="164" t="str">
        <f t="shared" si="18"/>
        <v>PAS</v>
      </c>
      <c r="W143" s="11" t="str">
        <f t="shared" si="19"/>
        <v/>
      </c>
      <c r="X143" s="165">
        <v>20</v>
      </c>
      <c r="Y143" s="24"/>
    </row>
    <row r="144" spans="2:25" ht="45" customHeight="1" thickBot="1" x14ac:dyDescent="0.35">
      <c r="B144" s="24"/>
      <c r="C144" s="68" t="str">
        <f>IF(OR(I144="",I144="None"),"-",IF(OR(K144="",K144="None"),E144&amp;" "&amp;"SEM-"&amp;F144&amp;" "&amp;"SKS-"&amp;G144&amp;" "&amp;H144&amp;" "&amp;J144,E144&amp;" "&amp;"SEM-"&amp;F144&amp;" SKS-"&amp;G144&amp;" "&amp;"S"&amp;H144&amp;" "&amp;H144&amp;" "&amp;J144&amp;"/"&amp;L144))</f>
        <v>Teknopreneur* SEM-7 SKS-3 D EE</v>
      </c>
      <c r="D144" s="14" t="str">
        <f>IF(J$140&gt;='TABLE SISTEM'!A$6,'TABLE MK'!A$24,"")</f>
        <v>INF-55201-401</v>
      </c>
      <c r="E144" s="14" t="str">
        <f>IF(D144="","",(VLOOKUP(D144,Table1[Kode MK]:Table1[[#All],[Kode MK]:[Mata Kuliah Prasyarat]],2,)))</f>
        <v>Teknopreneur*</v>
      </c>
      <c r="F144" s="15">
        <f>IF(D144="","",(VLOOKUP(D144,Table1[Kode MK]:Table1[[#All],[Kode MK]:[Mata Kuliah Prasyarat]],3,)))</f>
        <v>7</v>
      </c>
      <c r="G144" s="15">
        <f>IF(D144="","",(VLOOKUP(D144,Table1[Kode MK]:Table1[[#All],[Kode MK]:[Mata Kuliah Prasyarat]],4,)))</f>
        <v>3</v>
      </c>
      <c r="H144" s="15" t="str">
        <f>IF(D144="","","D")</f>
        <v>D</v>
      </c>
      <c r="I144" s="21" t="s">
        <v>119</v>
      </c>
      <c r="J144" s="17" t="str">
        <f>IF(I144="","",(VLOOKUP(I144,tbDosen[NAMA DOSEN]:tbDosen[[NAMA DOSEN]:[KODE]],2,)))</f>
        <v>EE</v>
      </c>
      <c r="K144" s="21" t="s">
        <v>105</v>
      </c>
      <c r="L144" s="17" t="str">
        <f>IF(K144="","",(VLOOKUP(K144,tbDosen[NAMA DOSEN]:tbDosen[[NAMA DOSEN]:[KODE]],2,)))</f>
        <v>-</v>
      </c>
      <c r="M144" s="16" t="str">
        <f>IF(OR(I144="",I144="None"),"",IF(OR(K144="",K144="None"),I144,I144&amp;" / "&amp;K144))</f>
        <v>Enda Esyudha Pratama, S.T., M.T.</v>
      </c>
      <c r="N144" s="16" t="str">
        <f t="shared" si="20"/>
        <v>EE</v>
      </c>
      <c r="O144" s="18">
        <f>IF(OR(I144="",I144="None"),"",IF(OR(K144="",K144="None"),G144,G144/2))</f>
        <v>3</v>
      </c>
      <c r="P144" s="61" t="str">
        <f>IF(D144="","",(IF(AND(G144=4,U144&lt;2),"ADA",IF(AND(G144&lt;4,U144=0),"ADA","TIDAK"))))</f>
        <v>TIDAK</v>
      </c>
      <c r="Q144" s="203" t="str">
        <f t="shared" si="21"/>
        <v/>
      </c>
      <c r="R144" s="203" t="str">
        <f t="shared" si="22"/>
        <v/>
      </c>
      <c r="S144" s="203" t="str">
        <f t="shared" si="23"/>
        <v/>
      </c>
      <c r="T144" s="203" t="str">
        <f t="shared" si="24"/>
        <v/>
      </c>
      <c r="U144" s="161">
        <v>1</v>
      </c>
      <c r="V144" s="164" t="str">
        <f t="shared" si="18"/>
        <v>PAS</v>
      </c>
      <c r="W144" s="11" t="str">
        <f t="shared" si="19"/>
        <v/>
      </c>
      <c r="X144" s="165">
        <v>20</v>
      </c>
      <c r="Y144" s="24"/>
    </row>
    <row r="145" spans="1:25" ht="45" customHeight="1" thickBot="1" x14ac:dyDescent="0.35">
      <c r="B145" s="24"/>
      <c r="C145" s="68" t="str">
        <f>IF(OR(I145="",I145="None"),"-",IF(OR(K145="",K145="None"),E145&amp;" "&amp;"SEM-"&amp;F145&amp;" "&amp;"SKS-"&amp;G145&amp;" "&amp;H145&amp;" "&amp;J145,E145&amp;" "&amp;"SEM-"&amp;F145&amp;" SKS-"&amp;G145&amp;" "&amp;"S"&amp;H145&amp;" "&amp;H145&amp;" "&amp;J145&amp;"/"&amp;L145))</f>
        <v>-</v>
      </c>
      <c r="D145" s="14" t="str">
        <f>IF(J$140&gt;='TABLE SISTEM'!A$7,'TABLE MK'!A$24,"")</f>
        <v/>
      </c>
      <c r="E145" s="14" t="str">
        <f>IF(D145="","",(VLOOKUP(D145,Table1[Kode MK]:Table1[[#All],[Kode MK]:[Mata Kuliah Prasyarat]],2,)))</f>
        <v/>
      </c>
      <c r="F145" s="15" t="str">
        <f>IF(D145="","",(VLOOKUP(D145,Table1[Kode MK]:Table1[[#All],[Kode MK]:[Mata Kuliah Prasyarat]],3,)))</f>
        <v/>
      </c>
      <c r="G145" s="15" t="str">
        <f>IF(D145="","",(VLOOKUP(D145,Table1[Kode MK]:Table1[[#All],[Kode MK]:[Mata Kuliah Prasyarat]],4,)))</f>
        <v/>
      </c>
      <c r="H145" s="15" t="str">
        <f>IF(D145="","","E")</f>
        <v/>
      </c>
      <c r="I145" s="44" t="s">
        <v>105</v>
      </c>
      <c r="J145" s="17" t="str">
        <f>IF(I145="","",(VLOOKUP(I145,tbDosen[NAMA DOSEN]:tbDosen[[NAMA DOSEN]:[KODE]],2,)))</f>
        <v>-</v>
      </c>
      <c r="K145" s="44" t="s">
        <v>105</v>
      </c>
      <c r="L145" s="17" t="str">
        <f>IF(K145="","",(VLOOKUP(K145,tbDosen[NAMA DOSEN]:tbDosen[[NAMA DOSEN]:[KODE]],2,)))</f>
        <v>-</v>
      </c>
      <c r="M145" s="16" t="str">
        <f>IF(OR(I145="",I145="None"),"",IF(OR(K145="",K145="None"),I145,I145&amp;" / "&amp;K145))</f>
        <v/>
      </c>
      <c r="N145" s="16" t="str">
        <f t="shared" si="20"/>
        <v/>
      </c>
      <c r="O145" s="18" t="str">
        <f>IF(OR(I145="",I145="None"),"",IF(OR(K145="",K145="None"),G145,G145/2))</f>
        <v/>
      </c>
      <c r="P145" s="62" t="str">
        <f>IF(D145="","",(IF(AND(G145=4,U145&lt;2),"ADA",IF(AND(G145&lt;4,U145=0),"ADA","TIDAK"))))</f>
        <v/>
      </c>
      <c r="Q145" s="203" t="str">
        <f t="shared" si="21"/>
        <v/>
      </c>
      <c r="R145" s="203" t="str">
        <f t="shared" si="22"/>
        <v/>
      </c>
      <c r="S145" s="203" t="str">
        <f t="shared" si="23"/>
        <v/>
      </c>
      <c r="T145" s="203" t="str">
        <f t="shared" si="24"/>
        <v/>
      </c>
      <c r="U145" s="161">
        <v>0</v>
      </c>
      <c r="V145" s="164" t="str">
        <f t="shared" si="18"/>
        <v/>
      </c>
      <c r="W145" s="11" t="str">
        <f t="shared" si="19"/>
        <v/>
      </c>
      <c r="X145" s="165"/>
      <c r="Y145" s="24"/>
    </row>
    <row r="146" spans="1:25" ht="45" customHeight="1" thickBot="1" x14ac:dyDescent="0.35">
      <c r="A146" s="70"/>
      <c r="B146" s="24"/>
      <c r="C146" s="67"/>
      <c r="D146" s="41" t="s">
        <v>157</v>
      </c>
      <c r="E146" s="256" t="str">
        <f>'TABLE MK'!B26</f>
        <v>Kriptografi</v>
      </c>
      <c r="F146" s="256"/>
      <c r="G146" s="256"/>
      <c r="H146" s="256"/>
      <c r="I146" s="41" t="s">
        <v>95</v>
      </c>
      <c r="J146" s="40">
        <v>2</v>
      </c>
      <c r="K146" s="42"/>
      <c r="L146" s="43"/>
      <c r="M146" s="43" t="s">
        <v>161</v>
      </c>
      <c r="N146" s="45"/>
      <c r="O146" s="42"/>
      <c r="P146" s="63"/>
      <c r="Q146" s="202"/>
      <c r="R146" s="202"/>
      <c r="S146" s="202"/>
      <c r="T146" s="202"/>
      <c r="U146" s="161">
        <v>0</v>
      </c>
      <c r="V146" s="164" t="str">
        <f t="shared" si="18"/>
        <v/>
      </c>
      <c r="W146" s="11" t="str">
        <f t="shared" si="19"/>
        <v/>
      </c>
      <c r="X146" s="165"/>
      <c r="Y146" s="24"/>
    </row>
    <row r="147" spans="1:25" ht="45" customHeight="1" thickBot="1" x14ac:dyDescent="0.35">
      <c r="B147" s="24"/>
      <c r="C147" s="68" t="str">
        <f>IF(OR(I147="",I147="None"),"-",IF(OR(K147="",K147="None"),E147&amp;" "&amp;"SEM-"&amp;F147&amp;" "&amp;"SKS-"&amp;G147&amp;" "&amp;H147&amp;" "&amp;J147,E147&amp;" "&amp;"SEM-"&amp;F147&amp;" SKS-"&amp;G147&amp;" "&amp;"S"&amp;H147&amp;" "&amp;H147&amp;" "&amp;J147&amp;"/"&amp;L147))</f>
        <v>Kriptografi SEM-7 SKS-3 SA A HLN/AAJ</v>
      </c>
      <c r="D147" s="14" t="str">
        <f>IF(J$146&gt;='TABLE SISTEM'!A$3,'TABLE MK'!A$26,"")</f>
        <v>INF­55201­540</v>
      </c>
      <c r="E147" s="14" t="str">
        <f>IF(D147="","",(VLOOKUP(D147,Table1[Kode MK]:Table1[[#All],[Kode MK]:[Mata Kuliah Prasyarat]],2,)))</f>
        <v>Kriptografi</v>
      </c>
      <c r="F147" s="15">
        <f>IF(D147="","",(VLOOKUP(D147,Table1[Kode MK]:Table1[[#All],[Kode MK]:[Mata Kuliah Prasyarat]],3,)))</f>
        <v>7</v>
      </c>
      <c r="G147" s="15">
        <f>IF(D147="","",(VLOOKUP(D147,Table1[Kode MK]:Table1[[#All],[Kode MK]:[Mata Kuliah Prasyarat]],4,)))</f>
        <v>3</v>
      </c>
      <c r="H147" s="15" t="str">
        <f>IF(D147="","","A")</f>
        <v>A</v>
      </c>
      <c r="I147" s="39" t="s">
        <v>130</v>
      </c>
      <c r="J147" s="17" t="str">
        <f>IF(I147="","",(VLOOKUP(I147,tbDosen[NAMA DOSEN]:tbDosen[[NAMA DOSEN]:[KODE]],2,)))</f>
        <v>HLN</v>
      </c>
      <c r="K147" s="39" t="s">
        <v>334</v>
      </c>
      <c r="L147" s="17" t="str">
        <f>IF(K147="","",(VLOOKUP(K147,tbDosen[NAMA DOSEN]:tbDosen[[NAMA DOSEN]:[KODE]],2,)))</f>
        <v>AAJ</v>
      </c>
      <c r="M147" s="16" t="str">
        <f>IF(OR(I147="",I147="None"),"",IF(OR(K147="",K147="None"),I147,I147&amp;" / "&amp;K147))</f>
        <v>Helfi Nasution, S.Kom, M.Cs / Alfian Abdul Jalid, S.Kom., M.Cs.</v>
      </c>
      <c r="N147" s="16" t="str">
        <f t="shared" si="20"/>
        <v>HLN / AAJ</v>
      </c>
      <c r="O147" s="18">
        <f>IF(OR(I147="",I147="None"),"",IF(OR(K147="",K147="None"),G147,G147/2))</f>
        <v>1.5</v>
      </c>
      <c r="P147" s="60" t="str">
        <f>IF(D147="","",(IF(AND(G147=4,U147&lt;2),"ADA",IF(AND(G147&lt;4,U147=0),"ADA","TIDAK"))))</f>
        <v>TIDAK</v>
      </c>
      <c r="Q147" s="111"/>
      <c r="R147" s="111"/>
      <c r="S147" s="111"/>
      <c r="T147" s="111"/>
      <c r="U147" s="161">
        <v>1</v>
      </c>
      <c r="V147" s="164" t="str">
        <f t="shared" si="18"/>
        <v>PAS</v>
      </c>
      <c r="W147" s="11" t="str">
        <f t="shared" si="19"/>
        <v/>
      </c>
      <c r="X147" s="165">
        <v>20</v>
      </c>
      <c r="Y147" s="24"/>
    </row>
    <row r="148" spans="1:25" ht="45" customHeight="1" thickBot="1" x14ac:dyDescent="0.35">
      <c r="B148" s="24"/>
      <c r="C148" s="68" t="str">
        <f>IF(OR(I148="",I148="None"),"-",IF(OR(K148="",K148="None"),E148&amp;" "&amp;"SEM-"&amp;F148&amp;" "&amp;"SKS-"&amp;G148&amp;" "&amp;H148&amp;" "&amp;J148,E148&amp;" "&amp;"SEM-"&amp;F148&amp;" SKS-"&amp;G148&amp;" "&amp;"S"&amp;H148&amp;" "&amp;H148&amp;" "&amp;J148&amp;"/"&amp;L148))</f>
        <v>Kriptografi SEM-7 SKS-3 SB B HLN/AAJ</v>
      </c>
      <c r="D148" s="14" t="str">
        <f>IF(J$146&gt;='TABLE SISTEM'!A$4,'TABLE MK'!A$26,"")</f>
        <v>INF­55201­540</v>
      </c>
      <c r="E148" s="14" t="str">
        <f>IF(D148="","",(VLOOKUP(D148,Table1[Kode MK]:Table1[[#All],[Kode MK]:[Mata Kuliah Prasyarat]],2,)))</f>
        <v>Kriptografi</v>
      </c>
      <c r="F148" s="15">
        <f>IF(D148="","",(VLOOKUP(D148,Table1[Kode MK]:Table1[[#All],[Kode MK]:[Mata Kuliah Prasyarat]],3,)))</f>
        <v>7</v>
      </c>
      <c r="G148" s="15">
        <f>IF(D148="","",(VLOOKUP(D148,Table1[Kode MK]:Table1[[#All],[Kode MK]:[Mata Kuliah Prasyarat]],4,)))</f>
        <v>3</v>
      </c>
      <c r="H148" s="15" t="str">
        <f>IF(D148="","","B")</f>
        <v>B</v>
      </c>
      <c r="I148" s="21" t="s">
        <v>130</v>
      </c>
      <c r="J148" s="17" t="str">
        <f>IF(I148="","",(VLOOKUP(I148,tbDosen[NAMA DOSEN]:tbDosen[[NAMA DOSEN]:[KODE]],2,)))</f>
        <v>HLN</v>
      </c>
      <c r="K148" s="21" t="s">
        <v>334</v>
      </c>
      <c r="L148" s="17" t="str">
        <f>IF(K148="","",(VLOOKUP(K148,tbDosen[NAMA DOSEN]:tbDosen[[NAMA DOSEN]:[KODE]],2,)))</f>
        <v>AAJ</v>
      </c>
      <c r="M148" s="16" t="str">
        <f>IF(OR(I148="",I148="None"),"",IF(OR(K148="",K148="None"),I148,I148&amp;" / "&amp;K148))</f>
        <v>Helfi Nasution, S.Kom, M.Cs / Alfian Abdul Jalid, S.Kom., M.Cs.</v>
      </c>
      <c r="N148" s="16" t="str">
        <f t="shared" si="20"/>
        <v>HLN / AAJ</v>
      </c>
      <c r="O148" s="18">
        <f>IF(OR(I148="",I148="None"),"",IF(OR(K148="",K148="None"),G148,G148/2))</f>
        <v>1.5</v>
      </c>
      <c r="P148" s="61" t="str">
        <f>IF(D148="","",(IF(AND(G148=4,U148&lt;2),"ADA",IF(AND(G148&lt;4,U148=0),"ADA","TIDAK"))))</f>
        <v>TIDAK</v>
      </c>
      <c r="Q148" s="111"/>
      <c r="R148" s="111"/>
      <c r="S148" s="111"/>
      <c r="T148" s="111"/>
      <c r="U148" s="161">
        <v>1</v>
      </c>
      <c r="V148" s="164" t="str">
        <f t="shared" si="18"/>
        <v>PAS</v>
      </c>
      <c r="W148" s="11" t="str">
        <f t="shared" si="19"/>
        <v/>
      </c>
      <c r="X148" s="165">
        <v>20</v>
      </c>
      <c r="Y148" s="24"/>
    </row>
    <row r="149" spans="1:25" ht="45" customHeight="1" thickBot="1" x14ac:dyDescent="0.35">
      <c r="B149" s="24"/>
      <c r="C149" s="68" t="str">
        <f>IF(OR(I149="",I149="None"),"-",IF(OR(K149="",K149="None"),E149&amp;" "&amp;"SEM-"&amp;F149&amp;" "&amp;"SKS-"&amp;G149&amp;" "&amp;H149&amp;" "&amp;J149,E149&amp;" "&amp;"SEM-"&amp;F149&amp;" SKS-"&amp;G149&amp;" "&amp;"S"&amp;H149&amp;" "&amp;H149&amp;" "&amp;J149&amp;"/"&amp;L149))</f>
        <v>-</v>
      </c>
      <c r="D149" s="14" t="str">
        <f>IF(J$146&gt;='TABLE SISTEM'!A$5,'TABLE MK'!A$26,"")</f>
        <v/>
      </c>
      <c r="E149" s="14" t="str">
        <f>IF(D149="","",(VLOOKUP(D149,Table1[Kode MK]:Table1[[#All],[Kode MK]:[Mata Kuliah Prasyarat]],2,)))</f>
        <v/>
      </c>
      <c r="F149" s="15" t="str">
        <f>IF(D149="","",(VLOOKUP(D149,Table1[Kode MK]:Table1[[#All],[Kode MK]:[Mata Kuliah Prasyarat]],3,)))</f>
        <v/>
      </c>
      <c r="G149" s="15" t="str">
        <f>IF(D149="","",(VLOOKUP(D149,Table1[Kode MK]:Table1[[#All],[Kode MK]:[Mata Kuliah Prasyarat]],4,)))</f>
        <v/>
      </c>
      <c r="H149" s="15" t="str">
        <f>IF(D149="","","C")</f>
        <v/>
      </c>
      <c r="I149" s="21" t="s">
        <v>105</v>
      </c>
      <c r="J149" s="17" t="str">
        <f>IF(I149="","",(VLOOKUP(I149,tbDosen[NAMA DOSEN]:tbDosen[[NAMA DOSEN]:[KODE]],2,)))</f>
        <v>-</v>
      </c>
      <c r="K149" s="21" t="s">
        <v>105</v>
      </c>
      <c r="L149" s="17" t="str">
        <f>IF(K149="","",(VLOOKUP(K149,tbDosen[NAMA DOSEN]:tbDosen[[NAMA DOSEN]:[KODE]],2,)))</f>
        <v>-</v>
      </c>
      <c r="M149" s="16" t="str">
        <f>IF(OR(I149="",I149="None"),"",IF(OR(K149="",K149="None"),I149,I149&amp;" / "&amp;K149))</f>
        <v/>
      </c>
      <c r="N149" s="16" t="str">
        <f t="shared" si="20"/>
        <v/>
      </c>
      <c r="O149" s="18" t="str">
        <f>IF(OR(I149="",I149="None"),"",IF(OR(K149="",K149="None"),G149,G149/2))</f>
        <v/>
      </c>
      <c r="P149" s="61" t="str">
        <f>IF(D149="","",(IF(AND(G149=4,U149&lt;2),"ADA",IF(AND(G149&lt;4,U149=0),"ADA","TIDAK"))))</f>
        <v/>
      </c>
      <c r="Q149" s="111"/>
      <c r="R149" s="111"/>
      <c r="S149" s="111"/>
      <c r="T149" s="111"/>
      <c r="U149" s="161">
        <v>0</v>
      </c>
      <c r="V149" s="164" t="str">
        <f t="shared" si="18"/>
        <v/>
      </c>
      <c r="W149" s="11" t="str">
        <f t="shared" si="19"/>
        <v/>
      </c>
      <c r="X149" s="165"/>
      <c r="Y149" s="24"/>
    </row>
    <row r="150" spans="1:25" ht="45" customHeight="1" thickBot="1" x14ac:dyDescent="0.35">
      <c r="B150" s="24"/>
      <c r="C150" s="68" t="str">
        <f>IF(OR(I150="",I150="None"),"-",IF(OR(K150="",K150="None"),E150&amp;" "&amp;"SEM-"&amp;F150&amp;" "&amp;"SKS-"&amp;G150&amp;" "&amp;H150&amp;" "&amp;J150,E150&amp;" "&amp;"SEM-"&amp;F150&amp;" SKS-"&amp;G150&amp;" "&amp;"S"&amp;H150&amp;" "&amp;H150&amp;" "&amp;J150&amp;"/"&amp;L150))</f>
        <v>-</v>
      </c>
      <c r="D150" s="14" t="str">
        <f>IF(J$146&gt;='TABLE SISTEM'!A$6,'TABLE MK'!A$26,"")</f>
        <v/>
      </c>
      <c r="E150" s="14" t="str">
        <f>IF(D150="","",(VLOOKUP(D150,Table1[Kode MK]:Table1[[#All],[Kode MK]:[Mata Kuliah Prasyarat]],2,)))</f>
        <v/>
      </c>
      <c r="F150" s="15" t="str">
        <f>IF(D150="","",(VLOOKUP(D150,Table1[Kode MK]:Table1[[#All],[Kode MK]:[Mata Kuliah Prasyarat]],3,)))</f>
        <v/>
      </c>
      <c r="G150" s="15" t="str">
        <f>IF(D150="","",(VLOOKUP(D150,Table1[Kode MK]:Table1[[#All],[Kode MK]:[Mata Kuliah Prasyarat]],4,)))</f>
        <v/>
      </c>
      <c r="H150" s="15" t="str">
        <f>IF(D150="","","D")</f>
        <v/>
      </c>
      <c r="I150" s="21" t="s">
        <v>105</v>
      </c>
      <c r="J150" s="17" t="str">
        <f>IF(I150="","",(VLOOKUP(I150,tbDosen[NAMA DOSEN]:tbDosen[[NAMA DOSEN]:[KODE]],2,)))</f>
        <v>-</v>
      </c>
      <c r="K150" s="21" t="s">
        <v>105</v>
      </c>
      <c r="L150" s="17" t="str">
        <f>IF(K150="","",(VLOOKUP(K150,tbDosen[NAMA DOSEN]:tbDosen[[NAMA DOSEN]:[KODE]],2,)))</f>
        <v>-</v>
      </c>
      <c r="M150" s="16" t="str">
        <f>IF(OR(I150="",I150="None"),"",IF(OR(K150="",K150="None"),I150,I150&amp;" / "&amp;K150))</f>
        <v/>
      </c>
      <c r="N150" s="16" t="str">
        <f t="shared" si="20"/>
        <v/>
      </c>
      <c r="O150" s="18" t="str">
        <f>IF(OR(I150="",I150="None"),"",IF(OR(K150="",K150="None"),G150,G150/2))</f>
        <v/>
      </c>
      <c r="P150" s="61" t="str">
        <f>IF(D150="","",(IF(AND(G150=4,U150&lt;2),"ADA",IF(AND(G150&lt;4,U150=0),"ADA","TIDAK"))))</f>
        <v/>
      </c>
      <c r="Q150" s="111"/>
      <c r="R150" s="111"/>
      <c r="S150" s="111"/>
      <c r="T150" s="111"/>
      <c r="U150" s="161">
        <v>0</v>
      </c>
      <c r="V150" s="164" t="str">
        <f t="shared" si="18"/>
        <v/>
      </c>
      <c r="W150" s="11" t="str">
        <f t="shared" si="19"/>
        <v/>
      </c>
      <c r="X150" s="165"/>
      <c r="Y150" s="24"/>
    </row>
    <row r="151" spans="1:25" ht="45" customHeight="1" thickBot="1" x14ac:dyDescent="0.35">
      <c r="B151" s="24"/>
      <c r="C151" s="68" t="str">
        <f>IF(OR(I151="",I151="None"),"-",IF(OR(K151="",K151="None"),E151&amp;" "&amp;"SEM-"&amp;F151&amp;" "&amp;"SKS-"&amp;G151&amp;" "&amp;H151&amp;" "&amp;J151,E151&amp;" "&amp;"SEM-"&amp;F151&amp;" SKS-"&amp;G151&amp;" "&amp;"S"&amp;H151&amp;" "&amp;H151&amp;" "&amp;J151&amp;"/"&amp;L151))</f>
        <v>-</v>
      </c>
      <c r="D151" s="14" t="str">
        <f>IF(J$146&gt;='TABLE SISTEM'!A$7,'TABLE MK'!A$26,"")</f>
        <v/>
      </c>
      <c r="E151" s="14" t="str">
        <f>IF(D151="","",(VLOOKUP(D151,Table1[Kode MK]:Table1[[#All],[Kode MK]:[Mata Kuliah Prasyarat]],2,)))</f>
        <v/>
      </c>
      <c r="F151" s="15" t="str">
        <f>IF(D151="","",(VLOOKUP(D151,Table1[Kode MK]:Table1[[#All],[Kode MK]:[Mata Kuliah Prasyarat]],3,)))</f>
        <v/>
      </c>
      <c r="G151" s="15" t="str">
        <f>IF(D151="","",(VLOOKUP(D151,Table1[Kode MK]:Table1[[#All],[Kode MK]:[Mata Kuliah Prasyarat]],4,)))</f>
        <v/>
      </c>
      <c r="H151" s="15" t="str">
        <f>IF(D151="","","E")</f>
        <v/>
      </c>
      <c r="I151" s="44" t="s">
        <v>105</v>
      </c>
      <c r="J151" s="17" t="str">
        <f>IF(I151="","",(VLOOKUP(I151,tbDosen[NAMA DOSEN]:tbDosen[[NAMA DOSEN]:[KODE]],2,)))</f>
        <v>-</v>
      </c>
      <c r="K151" s="44" t="s">
        <v>105</v>
      </c>
      <c r="L151" s="17" t="str">
        <f>IF(K151="","",(VLOOKUP(K151,tbDosen[NAMA DOSEN]:tbDosen[[NAMA DOSEN]:[KODE]],2,)))</f>
        <v>-</v>
      </c>
      <c r="M151" s="16" t="str">
        <f>IF(OR(I151="",I151="None"),"",IF(OR(K151="",K151="None"),I151,I151&amp;" / "&amp;K151))</f>
        <v/>
      </c>
      <c r="N151" s="16" t="str">
        <f t="shared" si="20"/>
        <v/>
      </c>
      <c r="O151" s="18" t="str">
        <f>IF(OR(I151="",I151="None"),"",IF(OR(K151="",K151="None"),G151,G151/2))</f>
        <v/>
      </c>
      <c r="P151" s="62" t="str">
        <f>IF(D151="","",(IF(AND(G151=4,U151&lt;2),"ADA",IF(AND(G151&lt;4,U151=0),"ADA","TIDAK"))))</f>
        <v/>
      </c>
      <c r="Q151" s="111"/>
      <c r="R151" s="111"/>
      <c r="S151" s="111"/>
      <c r="T151" s="111"/>
      <c r="U151" s="161">
        <v>0</v>
      </c>
      <c r="V151" s="164" t="str">
        <f t="shared" si="18"/>
        <v/>
      </c>
      <c r="W151" s="11" t="str">
        <f t="shared" si="19"/>
        <v/>
      </c>
      <c r="X151" s="165"/>
      <c r="Y151" s="24"/>
    </row>
    <row r="152" spans="1:25" ht="45" customHeight="1" thickBot="1" x14ac:dyDescent="0.35">
      <c r="B152" s="24"/>
      <c r="C152" s="67"/>
      <c r="D152" s="41" t="s">
        <v>157</v>
      </c>
      <c r="E152" s="256" t="str">
        <f>'TABLE MK'!B27</f>
        <v xml:space="preserve">Komputasi  Awan  </v>
      </c>
      <c r="F152" s="256"/>
      <c r="G152" s="256"/>
      <c r="H152" s="256"/>
      <c r="I152" s="41" t="s">
        <v>95</v>
      </c>
      <c r="J152" s="40">
        <v>2</v>
      </c>
      <c r="K152" s="42"/>
      <c r="L152" s="43"/>
      <c r="M152" s="43" t="s">
        <v>161</v>
      </c>
      <c r="N152" s="45"/>
      <c r="O152" s="42"/>
      <c r="P152" s="63"/>
      <c r="Q152" s="202"/>
      <c r="R152" s="202"/>
      <c r="S152" s="202"/>
      <c r="T152" s="202"/>
      <c r="U152" s="161">
        <v>0</v>
      </c>
      <c r="V152" s="164" t="str">
        <f t="shared" si="18"/>
        <v/>
      </c>
      <c r="W152" s="11" t="str">
        <f t="shared" si="19"/>
        <v/>
      </c>
      <c r="X152" s="165"/>
      <c r="Y152" s="24"/>
    </row>
    <row r="153" spans="1:25" ht="45" customHeight="1" thickBot="1" x14ac:dyDescent="0.35">
      <c r="B153" s="24"/>
      <c r="C153" s="68" t="str">
        <f>IF(OR(I153="",I153="None"),"-",IF(OR(K153="",K153="None"),E153&amp;" "&amp;"SEM-"&amp;F153&amp;" "&amp;"SKS-"&amp;G153&amp;" "&amp;H153&amp;" "&amp;J153,E153&amp;" "&amp;"SEM-"&amp;F153&amp;" SKS-"&amp;G153&amp;" "&amp;"S"&amp;H153&amp;" "&amp;H153&amp;" "&amp;J153&amp;"/"&amp;L153))</f>
        <v>Komputasi  Awan   SEM-7 SKS-3 A AS</v>
      </c>
      <c r="D153" s="14" t="str">
        <f>IF(J$152&gt;='TABLE SISTEM'!A$3,'TABLE MK'!A$27,"")</f>
        <v>INF­55201­523</v>
      </c>
      <c r="E153" s="14" t="str">
        <f>IF(D153="","",(VLOOKUP(D153,Table1[Kode MK]:Table1[[#All],[Kode MK]:[Mata Kuliah Prasyarat]],2,)))</f>
        <v xml:space="preserve">Komputasi  Awan  </v>
      </c>
      <c r="F153" s="15">
        <f>IF(D153="","",(VLOOKUP(D153,Table1[Kode MK]:Table1[[#All],[Kode MK]:[Mata Kuliah Prasyarat]],3,)))</f>
        <v>7</v>
      </c>
      <c r="G153" s="15">
        <f>IF(D153="","",(VLOOKUP(D153,Table1[Kode MK]:Table1[[#All],[Kode MK]:[Mata Kuliah Prasyarat]],4,)))</f>
        <v>3</v>
      </c>
      <c r="H153" s="15" t="str">
        <f>IF(D153="","","A")</f>
        <v>A</v>
      </c>
      <c r="I153" s="39" t="s">
        <v>109</v>
      </c>
      <c r="J153" s="17" t="str">
        <f>IF(I153="","",(VLOOKUP(I153,tbDosen[NAMA DOSEN]:tbDosen[[NAMA DOSEN]:[KODE]],2,)))</f>
        <v>AS</v>
      </c>
      <c r="K153" s="39" t="s">
        <v>105</v>
      </c>
      <c r="L153" s="17" t="str">
        <f>IF(K153="","",(VLOOKUP(K153,tbDosen[NAMA DOSEN]:tbDosen[[NAMA DOSEN]:[KODE]],2,)))</f>
        <v>-</v>
      </c>
      <c r="M153" s="16" t="str">
        <f>IF(OR(I153="",I153="None"),"",IF(OR(K153="",K153="None"),I153,I153&amp;" / "&amp;K153))</f>
        <v>Anggi Srimurdianti, S.T., M.T.</v>
      </c>
      <c r="N153" s="16" t="str">
        <f t="shared" si="20"/>
        <v>AS</v>
      </c>
      <c r="O153" s="18">
        <f>IF(OR(I153="",I153="None"),"",IF(OR(K153="",K153="None"),G153,G153/2))</f>
        <v>3</v>
      </c>
      <c r="P153" s="60" t="str">
        <f>IF(D153="","",(IF(AND(G153=4,U153&lt;2),"ADA",IF(AND(G153&lt;4,U153=0),"ADA","TIDAK"))))</f>
        <v>TIDAK</v>
      </c>
      <c r="Q153" s="111"/>
      <c r="R153" s="111"/>
      <c r="S153" s="111"/>
      <c r="T153" s="111"/>
      <c r="U153" s="161">
        <v>1</v>
      </c>
      <c r="V153" s="164" t="str">
        <f t="shared" si="18"/>
        <v>PAS</v>
      </c>
      <c r="W153" s="11" t="str">
        <f t="shared" si="19"/>
        <v/>
      </c>
      <c r="X153" s="165">
        <v>20</v>
      </c>
      <c r="Y153" s="24"/>
    </row>
    <row r="154" spans="1:25" ht="45" customHeight="1" thickBot="1" x14ac:dyDescent="0.35">
      <c r="B154" s="24"/>
      <c r="C154" s="68" t="str">
        <f>IF(OR(I154="",I154="None"),"-",IF(OR(K154="",K154="None"),E154&amp;" "&amp;"SEM-"&amp;F154&amp;" "&amp;"SKS-"&amp;G154&amp;" "&amp;H154&amp;" "&amp;J154,E154&amp;" "&amp;"SEM-"&amp;F154&amp;" SKS-"&amp;G154&amp;" "&amp;"S"&amp;H154&amp;" "&amp;H154&amp;" "&amp;J154&amp;"/"&amp;L154))</f>
        <v>Komputasi  Awan   SEM-7 SKS-3 B AS</v>
      </c>
      <c r="D154" s="14" t="str">
        <f>IF(J$152&gt;='TABLE SISTEM'!A$4,'TABLE MK'!A$27,"")</f>
        <v>INF­55201­523</v>
      </c>
      <c r="E154" s="14" t="str">
        <f>IF(D154="","",(VLOOKUP(D154,Table1[Kode MK]:Table1[[#All],[Kode MK]:[Mata Kuliah Prasyarat]],2,)))</f>
        <v xml:space="preserve">Komputasi  Awan  </v>
      </c>
      <c r="F154" s="15">
        <f>IF(D154="","",(VLOOKUP(D154,Table1[Kode MK]:Table1[[#All],[Kode MK]:[Mata Kuliah Prasyarat]],3,)))</f>
        <v>7</v>
      </c>
      <c r="G154" s="15">
        <f>IF(D154="","",(VLOOKUP(D154,Table1[Kode MK]:Table1[[#All],[Kode MK]:[Mata Kuliah Prasyarat]],4,)))</f>
        <v>3</v>
      </c>
      <c r="H154" s="15" t="str">
        <f>IF(D154="","","B")</f>
        <v>B</v>
      </c>
      <c r="I154" s="21" t="s">
        <v>109</v>
      </c>
      <c r="J154" s="17" t="str">
        <f>IF(I154="","",(VLOOKUP(I154,tbDosen[NAMA DOSEN]:tbDosen[[NAMA DOSEN]:[KODE]],2,)))</f>
        <v>AS</v>
      </c>
      <c r="K154" s="21" t="s">
        <v>105</v>
      </c>
      <c r="L154" s="17" t="str">
        <f>IF(K154="","",(VLOOKUP(K154,tbDosen[NAMA DOSEN]:tbDosen[[NAMA DOSEN]:[KODE]],2,)))</f>
        <v>-</v>
      </c>
      <c r="M154" s="16" t="str">
        <f>IF(OR(I154="",I154="None"),"",IF(OR(K154="",K154="None"),I154,I154&amp;" / "&amp;K154))</f>
        <v>Anggi Srimurdianti, S.T., M.T.</v>
      </c>
      <c r="N154" s="16" t="str">
        <f t="shared" si="20"/>
        <v>AS</v>
      </c>
      <c r="O154" s="18">
        <f>IF(OR(I154="",I154="None"),"",IF(OR(K154="",K154="None"),G154,G154/2))</f>
        <v>3</v>
      </c>
      <c r="P154" s="61" t="str">
        <f>IF(D154="","",(IF(AND(G154=4,U154&lt;2),"ADA",IF(AND(G154&lt;4,U154=0),"ADA","TIDAK"))))</f>
        <v>TIDAK</v>
      </c>
      <c r="Q154" s="111"/>
      <c r="R154" s="111"/>
      <c r="S154" s="111"/>
      <c r="T154" s="111"/>
      <c r="U154" s="161">
        <v>1</v>
      </c>
      <c r="V154" s="164" t="str">
        <f t="shared" si="18"/>
        <v>PAS</v>
      </c>
      <c r="W154" s="11" t="str">
        <f t="shared" si="19"/>
        <v/>
      </c>
      <c r="X154" s="165">
        <v>20</v>
      </c>
      <c r="Y154" s="24"/>
    </row>
    <row r="155" spans="1:25" ht="45" customHeight="1" thickBot="1" x14ac:dyDescent="0.35">
      <c r="B155" s="24"/>
      <c r="C155" s="68" t="str">
        <f>IF(OR(I155="",I155="None"),"-",IF(OR(K155="",K155="None"),E155&amp;" "&amp;"SEM-"&amp;F155&amp;" "&amp;"SKS-"&amp;G155&amp;" "&amp;H155&amp;" "&amp;J155,E155&amp;" "&amp;"SEM-"&amp;F155&amp;" SKS-"&amp;G155&amp;" "&amp;"S"&amp;H155&amp;" "&amp;H155&amp;" "&amp;J155&amp;"/"&amp;L155))</f>
        <v>-</v>
      </c>
      <c r="D155" s="14" t="str">
        <f>IF(J$152&gt;='TABLE SISTEM'!A$5,'TABLE MK'!A$27,"")</f>
        <v/>
      </c>
      <c r="E155" s="14" t="str">
        <f>IF(D155="","",(VLOOKUP(D155,Table1[Kode MK]:Table1[[#All],[Kode MK]:[Mata Kuliah Prasyarat]],2,)))</f>
        <v/>
      </c>
      <c r="F155" s="15" t="str">
        <f>IF(D155="","",(VLOOKUP(D155,Table1[Kode MK]:Table1[[#All],[Kode MK]:[Mata Kuliah Prasyarat]],3,)))</f>
        <v/>
      </c>
      <c r="G155" s="15" t="str">
        <f>IF(D155="","",(VLOOKUP(D155,Table1[Kode MK]:Table1[[#All],[Kode MK]:[Mata Kuliah Prasyarat]],4,)))</f>
        <v/>
      </c>
      <c r="H155" s="15" t="str">
        <f>IF(D155="","","C")</f>
        <v/>
      </c>
      <c r="I155" s="21" t="s">
        <v>105</v>
      </c>
      <c r="J155" s="17" t="str">
        <f>IF(I155="","",(VLOOKUP(I155,tbDosen[NAMA DOSEN]:tbDosen[[NAMA DOSEN]:[KODE]],2,)))</f>
        <v>-</v>
      </c>
      <c r="K155" s="21" t="s">
        <v>105</v>
      </c>
      <c r="L155" s="17" t="str">
        <f>IF(K155="","",(VLOOKUP(K155,tbDosen[NAMA DOSEN]:tbDosen[[NAMA DOSEN]:[KODE]],2,)))</f>
        <v>-</v>
      </c>
      <c r="M155" s="16" t="str">
        <f>IF(OR(I155="",I155="None"),"",IF(OR(K155="",K155="None"),I155,I155&amp;" / "&amp;K155))</f>
        <v/>
      </c>
      <c r="N155" s="16" t="str">
        <f t="shared" si="20"/>
        <v/>
      </c>
      <c r="O155" s="18" t="str">
        <f>IF(OR(I155="",I155="None"),"",IF(OR(K155="",K155="None"),G155,G155/2))</f>
        <v/>
      </c>
      <c r="P155" s="61" t="str">
        <f>IF(D155="","",(IF(AND(G155=4,U155&lt;2),"ADA",IF(AND(G155&lt;4,U155=0),"ADA","TIDAK"))))</f>
        <v/>
      </c>
      <c r="Q155" s="111"/>
      <c r="R155" s="111"/>
      <c r="S155" s="111"/>
      <c r="T155" s="111"/>
      <c r="U155" s="161">
        <v>0</v>
      </c>
      <c r="V155" s="164" t="str">
        <f t="shared" si="18"/>
        <v/>
      </c>
      <c r="W155" s="11" t="str">
        <f t="shared" si="19"/>
        <v/>
      </c>
      <c r="X155" s="165"/>
      <c r="Y155" s="24"/>
    </row>
    <row r="156" spans="1:25" ht="45" customHeight="1" thickBot="1" x14ac:dyDescent="0.35">
      <c r="B156" s="24"/>
      <c r="C156" s="68" t="str">
        <f>IF(OR(I156="",I156="None"),"-",IF(OR(K156="",K156="None"),E156&amp;" "&amp;"SEM-"&amp;F156&amp;" "&amp;"SKS-"&amp;G156&amp;" "&amp;H156&amp;" "&amp;J156,E156&amp;" "&amp;"SEM-"&amp;F156&amp;" SKS-"&amp;G156&amp;" "&amp;"S"&amp;H156&amp;" "&amp;H156&amp;" "&amp;J156&amp;"/"&amp;L156))</f>
        <v>-</v>
      </c>
      <c r="D156" s="14" t="str">
        <f>IF(J$152&gt;='TABLE SISTEM'!A$6,'TABLE MK'!A$27,"")</f>
        <v/>
      </c>
      <c r="E156" s="14" t="str">
        <f>IF(D156="","",(VLOOKUP(D156,Table1[Kode MK]:Table1[[#All],[Kode MK]:[Mata Kuliah Prasyarat]],2,)))</f>
        <v/>
      </c>
      <c r="F156" s="15" t="str">
        <f>IF(D156="","",(VLOOKUP(D156,Table1[Kode MK]:Table1[[#All],[Kode MK]:[Mata Kuliah Prasyarat]],3,)))</f>
        <v/>
      </c>
      <c r="G156" s="15" t="str">
        <f>IF(D156="","",(VLOOKUP(D156,Table1[Kode MK]:Table1[[#All],[Kode MK]:[Mata Kuliah Prasyarat]],4,)))</f>
        <v/>
      </c>
      <c r="H156" s="15" t="str">
        <f>IF(D156="","","D")</f>
        <v/>
      </c>
      <c r="I156" s="21" t="s">
        <v>105</v>
      </c>
      <c r="J156" s="17" t="str">
        <f>IF(I156="","",(VLOOKUP(I156,tbDosen[NAMA DOSEN]:tbDosen[[NAMA DOSEN]:[KODE]],2,)))</f>
        <v>-</v>
      </c>
      <c r="K156" s="21" t="s">
        <v>105</v>
      </c>
      <c r="L156" s="17" t="str">
        <f>IF(K156="","",(VLOOKUP(K156,tbDosen[NAMA DOSEN]:tbDosen[[NAMA DOSEN]:[KODE]],2,)))</f>
        <v>-</v>
      </c>
      <c r="M156" s="16" t="str">
        <f>IF(OR(I156="",I156="None"),"",IF(OR(K156="",K156="None"),I156,I156&amp;" / "&amp;K156))</f>
        <v/>
      </c>
      <c r="N156" s="16" t="str">
        <f t="shared" si="20"/>
        <v/>
      </c>
      <c r="O156" s="18" t="str">
        <f>IF(OR(I156="",I156="None"),"",IF(OR(K156="",K156="None"),G156,G156/2))</f>
        <v/>
      </c>
      <c r="P156" s="61" t="str">
        <f>IF(D156="","",(IF(AND(G156=4,U156&lt;2),"ADA",IF(AND(G156&lt;4,U156=0),"ADA","TIDAK"))))</f>
        <v/>
      </c>
      <c r="Q156" s="111"/>
      <c r="R156" s="111"/>
      <c r="S156" s="111"/>
      <c r="T156" s="111"/>
      <c r="U156" s="161">
        <v>0</v>
      </c>
      <c r="V156" s="164" t="str">
        <f t="shared" si="18"/>
        <v/>
      </c>
      <c r="W156" s="11" t="str">
        <f t="shared" si="19"/>
        <v/>
      </c>
      <c r="X156" s="165"/>
      <c r="Y156" s="24"/>
    </row>
    <row r="157" spans="1:25" ht="45" customHeight="1" thickBot="1" x14ac:dyDescent="0.35">
      <c r="B157" s="24"/>
      <c r="C157" s="68" t="str">
        <f>IF(OR(I157="",I157="None"),"-",IF(OR(K157="",K157="None"),E157&amp;" "&amp;"SEM-"&amp;F157&amp;" "&amp;"SKS-"&amp;G157&amp;" "&amp;H157&amp;" "&amp;J157,E157&amp;" "&amp;"SEM-"&amp;F157&amp;" SKS-"&amp;G157&amp;" "&amp;"S"&amp;H157&amp;" "&amp;H157&amp;" "&amp;J157&amp;"/"&amp;L157))</f>
        <v>-</v>
      </c>
      <c r="D157" s="14" t="str">
        <f>IF(J$152&gt;='TABLE SISTEM'!A$7,'TABLE MK'!A$27,"")</f>
        <v/>
      </c>
      <c r="E157" s="14" t="str">
        <f>IF(D157="","",(VLOOKUP(D157,Table1[Kode MK]:Table1[[#All],[Kode MK]:[Mata Kuliah Prasyarat]],2,)))</f>
        <v/>
      </c>
      <c r="F157" s="15" t="str">
        <f>IF(D157="","",(VLOOKUP(D157,Table1[Kode MK]:Table1[[#All],[Kode MK]:[Mata Kuliah Prasyarat]],3,)))</f>
        <v/>
      </c>
      <c r="G157" s="15" t="str">
        <f>IF(D157="","",(VLOOKUP(D157,Table1[Kode MK]:Table1[[#All],[Kode MK]:[Mata Kuliah Prasyarat]],4,)))</f>
        <v/>
      </c>
      <c r="H157" s="15" t="str">
        <f>IF(D157="","","E")</f>
        <v/>
      </c>
      <c r="I157" s="44" t="s">
        <v>105</v>
      </c>
      <c r="J157" s="17" t="str">
        <f>IF(I157="","",(VLOOKUP(I157,tbDosen[NAMA DOSEN]:tbDosen[[NAMA DOSEN]:[KODE]],2,)))</f>
        <v>-</v>
      </c>
      <c r="K157" s="44" t="s">
        <v>105</v>
      </c>
      <c r="L157" s="17" t="str">
        <f>IF(K157="","",(VLOOKUP(K157,tbDosen[NAMA DOSEN]:tbDosen[[NAMA DOSEN]:[KODE]],2,)))</f>
        <v>-</v>
      </c>
      <c r="M157" s="16" t="str">
        <f>IF(OR(I157="",I157="None"),"",IF(OR(K157="",K157="None"),I157,I157&amp;" / "&amp;K157))</f>
        <v/>
      </c>
      <c r="N157" s="16" t="str">
        <f t="shared" si="20"/>
        <v/>
      </c>
      <c r="O157" s="18" t="str">
        <f>IF(OR(I157="",I157="None"),"",IF(OR(K157="",K157="None"),G157,G157/2))</f>
        <v/>
      </c>
      <c r="P157" s="62" t="str">
        <f>IF(D157="","",(IF(AND(G157=4,U157&lt;2),"ADA",IF(AND(G157&lt;4,U157=0),"ADA","TIDAK"))))</f>
        <v/>
      </c>
      <c r="Q157" s="111"/>
      <c r="R157" s="111"/>
      <c r="S157" s="111"/>
      <c r="T157" s="111"/>
      <c r="U157" s="161">
        <v>0</v>
      </c>
      <c r="V157" s="164" t="str">
        <f t="shared" si="18"/>
        <v/>
      </c>
      <c r="W157" s="11" t="str">
        <f t="shared" si="19"/>
        <v/>
      </c>
      <c r="X157" s="165"/>
      <c r="Y157" s="24"/>
    </row>
    <row r="158" spans="1:25" ht="45" customHeight="1" thickBot="1" x14ac:dyDescent="0.35">
      <c r="B158" s="24"/>
      <c r="C158" s="67"/>
      <c r="D158" s="41" t="s">
        <v>157</v>
      </c>
      <c r="E158" s="256" t="str">
        <f>'TABLE MK'!B28</f>
        <v>Sistem  Informasi  Geografis II</v>
      </c>
      <c r="F158" s="256"/>
      <c r="G158" s="256"/>
      <c r="H158" s="256"/>
      <c r="I158" s="41" t="s">
        <v>95</v>
      </c>
      <c r="J158" s="40">
        <v>2</v>
      </c>
      <c r="K158" s="42"/>
      <c r="L158" s="43"/>
      <c r="M158" s="43" t="s">
        <v>161</v>
      </c>
      <c r="N158" s="45"/>
      <c r="O158" s="42"/>
      <c r="P158" s="63"/>
      <c r="Q158" s="202"/>
      <c r="R158" s="202"/>
      <c r="S158" s="202"/>
      <c r="T158" s="202"/>
      <c r="U158" s="161">
        <v>0</v>
      </c>
      <c r="V158" s="164" t="str">
        <f t="shared" si="18"/>
        <v/>
      </c>
      <c r="W158" s="11" t="str">
        <f t="shared" si="19"/>
        <v/>
      </c>
      <c r="X158" s="165"/>
      <c r="Y158" s="24"/>
    </row>
    <row r="159" spans="1:25" ht="45" customHeight="1" thickBot="1" x14ac:dyDescent="0.35">
      <c r="B159" s="24"/>
      <c r="C159" s="68" t="str">
        <f>IF(OR(I159="",I159="None"),"-",IF(OR(K159="",K159="None"),E159&amp;" "&amp;"SEM-"&amp;F159&amp;" "&amp;"SKS-"&amp;G159&amp;" "&amp;H159&amp;" "&amp;J159,E159&amp;" "&amp;"SEM-"&amp;F159&amp;" SKS-"&amp;G159&amp;" "&amp;"S"&amp;H159&amp;" "&amp;H159&amp;" "&amp;J159&amp;"/"&amp;L159))</f>
        <v>Sistem  Informasi  Geografis II SEM-7 SKS-3 SA A YS/AI</v>
      </c>
      <c r="D159" s="14" t="str">
        <f>IF(J$158&gt;='TABLE SISTEM'!A$3,'TABLE MK'!A$28,"")</f>
        <v>INF­55201­533</v>
      </c>
      <c r="E159" s="14" t="str">
        <f>IF(D159="","",(VLOOKUP(D159,Table1[Kode MK]:Table1[[#All],[Kode MK]:[Mata Kuliah Prasyarat]],2,)))</f>
        <v>Sistem  Informasi  Geografis II</v>
      </c>
      <c r="F159" s="15">
        <f>IF(D159="","",(VLOOKUP(D159,Table1[Kode MK]:Table1[[#All],[Kode MK]:[Mata Kuliah Prasyarat]],3,)))</f>
        <v>7</v>
      </c>
      <c r="G159" s="15">
        <f>IF(D159="","",(VLOOKUP(D159,Table1[Kode MK]:Table1[[#All],[Kode MK]:[Mata Kuliah Prasyarat]],4,)))</f>
        <v>3</v>
      </c>
      <c r="H159" s="15" t="str">
        <f>IF(D159="","","A")</f>
        <v>A</v>
      </c>
      <c r="I159" s="39" t="s">
        <v>115</v>
      </c>
      <c r="J159" s="17" t="str">
        <f>IF(I159="","",(VLOOKUP(I159,tbDosen[NAMA DOSEN]:tbDosen[[NAMA DOSEN]:[KODE]],2,)))</f>
        <v>YS</v>
      </c>
      <c r="K159" s="39" t="s">
        <v>134</v>
      </c>
      <c r="L159" s="17" t="str">
        <f>IF(K159="","",(VLOOKUP(K159,tbDosen[NAMA DOSEN]:tbDosen[[NAMA DOSEN]:[KODE]],2,)))</f>
        <v>AI</v>
      </c>
      <c r="M159" s="16" t="str">
        <f>IF(OR(I159="",I159="None"),"",IF(OR(K159="",K159="None"),I159,I159&amp;" / "&amp;K159))</f>
        <v>Dr. Yus Sholva, S.T., M.T. / M.Azhar Irwansyah, S.T.,M.Eng.</v>
      </c>
      <c r="N159" s="16" t="str">
        <f t="shared" si="20"/>
        <v>YS / AI</v>
      </c>
      <c r="O159" s="18">
        <f>IF(OR(I159="",I159="None"),"",IF(OR(K159="",K159="None"),G159,G159/2))</f>
        <v>1.5</v>
      </c>
      <c r="P159" s="60" t="str">
        <f>IF(D159="","",(IF(AND(G159=4,U159&lt;2),"ADA",IF(AND(G159&lt;4,U159=0),"ADA","TIDAK"))))</f>
        <v>TIDAK</v>
      </c>
      <c r="Q159" s="111"/>
      <c r="R159" s="111"/>
      <c r="S159" s="111"/>
      <c r="T159" s="111"/>
      <c r="U159" s="161">
        <v>1</v>
      </c>
      <c r="V159" s="164" t="str">
        <f t="shared" si="18"/>
        <v>PAS</v>
      </c>
      <c r="W159" s="11" t="str">
        <f t="shared" si="19"/>
        <v/>
      </c>
      <c r="X159" s="165">
        <v>20</v>
      </c>
      <c r="Y159" s="24"/>
    </row>
    <row r="160" spans="1:25" ht="45" customHeight="1" thickBot="1" x14ac:dyDescent="0.35">
      <c r="B160" s="24"/>
      <c r="C160" s="68" t="str">
        <f t="shared" ref="C160:C169" si="25">IF(OR(I160="",I160="None"),"-",IF(OR(K160="",K160="None"),E160&amp;" "&amp;"SEM-"&amp;F160&amp;" "&amp;"SKS-"&amp;G160&amp;" "&amp;H160&amp;" "&amp;J160,E160&amp;" "&amp;"SEM-"&amp;F160&amp;" SKS-"&amp;G160&amp;" "&amp;"S"&amp;H160&amp;" "&amp;H160&amp;" "&amp;J160&amp;"/"&amp;L160))</f>
        <v>Sistem  Informasi  Geografis II SEM-7 SKS-3 SB B YS/AI</v>
      </c>
      <c r="D160" s="14" t="str">
        <f>IF(J$158&gt;='TABLE SISTEM'!A$4,'TABLE MK'!A$28,"")</f>
        <v>INF­55201­533</v>
      </c>
      <c r="E160" s="14" t="str">
        <f>IF(D160="","",(VLOOKUP(D160,Table1[Kode MK]:Table1[[#All],[Kode MK]:[Mata Kuliah Prasyarat]],2,)))</f>
        <v>Sistem  Informasi  Geografis II</v>
      </c>
      <c r="F160" s="15">
        <f>IF(D160="","",(VLOOKUP(D160,Table1[Kode MK]:Table1[[#All],[Kode MK]:[Mata Kuliah Prasyarat]],3,)))</f>
        <v>7</v>
      </c>
      <c r="G160" s="15">
        <f>IF(D160="","",(VLOOKUP(D160,Table1[Kode MK]:Table1[[#All],[Kode MK]:[Mata Kuliah Prasyarat]],4,)))</f>
        <v>3</v>
      </c>
      <c r="H160" s="15" t="str">
        <f>IF(D160="","","B")</f>
        <v>B</v>
      </c>
      <c r="I160" s="21" t="s">
        <v>115</v>
      </c>
      <c r="J160" s="17" t="str">
        <f>IF(I160="","",(VLOOKUP(I160,tbDosen[NAMA DOSEN]:tbDosen[[NAMA DOSEN]:[KODE]],2,)))</f>
        <v>YS</v>
      </c>
      <c r="K160" s="21" t="s">
        <v>134</v>
      </c>
      <c r="L160" s="17" t="str">
        <f>IF(K160="","",(VLOOKUP(K160,tbDosen[NAMA DOSEN]:tbDosen[[NAMA DOSEN]:[KODE]],2,)))</f>
        <v>AI</v>
      </c>
      <c r="M160" s="16" t="str">
        <f>IF(OR(I160="",I160="None"),"",IF(OR(K160="",K160="None"),I160,I160&amp;" / "&amp;K160))</f>
        <v>Dr. Yus Sholva, S.T., M.T. / M.Azhar Irwansyah, S.T.,M.Eng.</v>
      </c>
      <c r="N160" s="16" t="str">
        <f t="shared" si="20"/>
        <v>YS / AI</v>
      </c>
      <c r="O160" s="18">
        <f>IF(OR(I160="",I160="None"),"",IF(OR(K160="",K160="None"),G160,G160/2))</f>
        <v>1.5</v>
      </c>
      <c r="P160" s="61" t="str">
        <f>IF(D160="","",(IF(AND(G160=4,U160&lt;2),"ADA",IF(AND(G160&lt;4,U160=0),"ADA","TIDAK"))))</f>
        <v>TIDAK</v>
      </c>
      <c r="Q160" s="111"/>
      <c r="R160" s="111"/>
      <c r="S160" s="111"/>
      <c r="T160" s="111"/>
      <c r="U160" s="161">
        <v>1</v>
      </c>
      <c r="V160" s="164" t="str">
        <f t="shared" si="18"/>
        <v>PAS</v>
      </c>
      <c r="W160" s="11" t="str">
        <f t="shared" si="19"/>
        <v/>
      </c>
      <c r="X160" s="165">
        <v>20</v>
      </c>
      <c r="Y160" s="24"/>
    </row>
    <row r="161" spans="2:25" ht="45" customHeight="1" thickBot="1" x14ac:dyDescent="0.35">
      <c r="B161" s="24"/>
      <c r="C161" s="68" t="str">
        <f t="shared" si="25"/>
        <v>-</v>
      </c>
      <c r="D161" s="14" t="str">
        <f>IF(J$158&gt;='TABLE SISTEM'!A$5,'TABLE MK'!A$28,"")</f>
        <v/>
      </c>
      <c r="E161" s="14" t="str">
        <f>IF(D161="","",(VLOOKUP(D161,Table1[Kode MK]:Table1[[#All],[Kode MK]:[Mata Kuliah Prasyarat]],2,)))</f>
        <v/>
      </c>
      <c r="F161" s="15" t="str">
        <f>IF(D161="","",(VLOOKUP(D161,Table1[Kode MK]:Table1[[#All],[Kode MK]:[Mata Kuliah Prasyarat]],3,)))</f>
        <v/>
      </c>
      <c r="G161" s="15" t="str">
        <f>IF(D161="","",(VLOOKUP(D161,Table1[Kode MK]:Table1[[#All],[Kode MK]:[Mata Kuliah Prasyarat]],4,)))</f>
        <v/>
      </c>
      <c r="H161" s="15" t="str">
        <f>IF(D161="","","C")</f>
        <v/>
      </c>
      <c r="I161" s="21" t="s">
        <v>105</v>
      </c>
      <c r="J161" s="17" t="str">
        <f>IF(I161="","",(VLOOKUP(I161,tbDosen[NAMA DOSEN]:tbDosen[[NAMA DOSEN]:[KODE]],2,)))</f>
        <v>-</v>
      </c>
      <c r="K161" s="21" t="s">
        <v>105</v>
      </c>
      <c r="L161" s="17" t="str">
        <f>IF(K161="","",(VLOOKUP(K161,tbDosen[NAMA DOSEN]:tbDosen[[NAMA DOSEN]:[KODE]],2,)))</f>
        <v>-</v>
      </c>
      <c r="M161" s="16" t="str">
        <f>IF(OR(I161="",I161="None"),"",IF(OR(K161="",K161="None"),I161,I161&amp;" / "&amp;K161))</f>
        <v/>
      </c>
      <c r="N161" s="16" t="str">
        <f t="shared" si="20"/>
        <v/>
      </c>
      <c r="O161" s="18" t="str">
        <f>IF(OR(I161="",I161="None"),"",IF(OR(K161="",K161="None"),G161,G161/2))</f>
        <v/>
      </c>
      <c r="P161" s="61" t="str">
        <f>IF(D161="","",(IF(AND(G161=4,U161&lt;2),"ADA",IF(AND(G161&lt;4,U161=0),"ADA","TIDAK"))))</f>
        <v/>
      </c>
      <c r="Q161" s="111"/>
      <c r="R161" s="111"/>
      <c r="S161" s="111"/>
      <c r="T161" s="111"/>
      <c r="U161" s="161">
        <v>0</v>
      </c>
      <c r="V161" s="164" t="str">
        <f t="shared" si="18"/>
        <v/>
      </c>
      <c r="W161" s="11" t="str">
        <f t="shared" si="19"/>
        <v/>
      </c>
      <c r="X161" s="165"/>
      <c r="Y161" s="24"/>
    </row>
    <row r="162" spans="2:25" ht="45" customHeight="1" thickBot="1" x14ac:dyDescent="0.35">
      <c r="B162" s="24"/>
      <c r="C162" s="68" t="str">
        <f t="shared" si="25"/>
        <v>-</v>
      </c>
      <c r="D162" s="14" t="str">
        <f>IF(J$158&gt;='TABLE SISTEM'!A$6,'TABLE MK'!A$28,"")</f>
        <v/>
      </c>
      <c r="E162" s="14" t="str">
        <f>IF(D162="","",(VLOOKUP(D162,Table1[Kode MK]:Table1[[#All],[Kode MK]:[Mata Kuliah Prasyarat]],2,)))</f>
        <v/>
      </c>
      <c r="F162" s="15" t="str">
        <f>IF(D162="","",(VLOOKUP(D162,Table1[Kode MK]:Table1[[#All],[Kode MK]:[Mata Kuliah Prasyarat]],3,)))</f>
        <v/>
      </c>
      <c r="G162" s="15" t="str">
        <f>IF(D162="","",(VLOOKUP(D162,Table1[Kode MK]:Table1[[#All],[Kode MK]:[Mata Kuliah Prasyarat]],4,)))</f>
        <v/>
      </c>
      <c r="H162" s="15" t="str">
        <f>IF(D162="","","D")</f>
        <v/>
      </c>
      <c r="I162" s="21" t="s">
        <v>105</v>
      </c>
      <c r="J162" s="17" t="str">
        <f>IF(I162="","",(VLOOKUP(I162,tbDosen[NAMA DOSEN]:tbDosen[[NAMA DOSEN]:[KODE]],2,)))</f>
        <v>-</v>
      </c>
      <c r="K162" s="21" t="s">
        <v>105</v>
      </c>
      <c r="L162" s="17" t="str">
        <f>IF(K162="","",(VLOOKUP(K162,tbDosen[NAMA DOSEN]:tbDosen[[NAMA DOSEN]:[KODE]],2,)))</f>
        <v>-</v>
      </c>
      <c r="M162" s="16" t="str">
        <f>IF(OR(I162="",I162="None"),"",IF(OR(K162="",K162="None"),I162,I162&amp;" / "&amp;K162))</f>
        <v/>
      </c>
      <c r="N162" s="16" t="str">
        <f t="shared" si="20"/>
        <v/>
      </c>
      <c r="O162" s="18" t="str">
        <f>IF(OR(I162="",I162="None"),"",IF(OR(K162="",K162="None"),G162,G162/2))</f>
        <v/>
      </c>
      <c r="P162" s="61" t="str">
        <f>IF(D162="","",(IF(AND(G162=4,U162&lt;2),"ADA",IF(AND(G162&lt;4,U162=0),"ADA","TIDAK"))))</f>
        <v/>
      </c>
      <c r="Q162" s="111"/>
      <c r="R162" s="111"/>
      <c r="S162" s="111"/>
      <c r="T162" s="111"/>
      <c r="U162" s="161">
        <v>0</v>
      </c>
      <c r="V162" s="164" t="str">
        <f t="shared" si="18"/>
        <v/>
      </c>
      <c r="W162" s="11" t="str">
        <f t="shared" si="19"/>
        <v/>
      </c>
      <c r="X162" s="165"/>
      <c r="Y162" s="24"/>
    </row>
    <row r="163" spans="2:25" ht="45" customHeight="1" thickBot="1" x14ac:dyDescent="0.35">
      <c r="B163" s="24"/>
      <c r="C163" s="69" t="str">
        <f t="shared" si="25"/>
        <v>-</v>
      </c>
      <c r="D163" s="33" t="str">
        <f>IF(J$158&gt;='TABLE SISTEM'!A$7,'TABLE MK'!A$28,"")</f>
        <v/>
      </c>
      <c r="E163" s="33" t="str">
        <f>IF(D163="","",(VLOOKUP(D163,Table1[Kode MK]:Table1[[#All],[Kode MK]:[Mata Kuliah Prasyarat]],2,)))</f>
        <v/>
      </c>
      <c r="F163" s="34" t="str">
        <f>IF(D163="","",(VLOOKUP(D163,Table1[Kode MK]:Table1[[#All],[Kode MK]:[Mata Kuliah Prasyarat]],3,)))</f>
        <v/>
      </c>
      <c r="G163" s="34" t="str">
        <f>IF(D163="","",(VLOOKUP(D163,Table1[Kode MK]:Table1[[#All],[Kode MK]:[Mata Kuliah Prasyarat]],4,)))</f>
        <v/>
      </c>
      <c r="H163" s="34" t="str">
        <f>IF(D163="","","E")</f>
        <v/>
      </c>
      <c r="I163" s="35" t="s">
        <v>105</v>
      </c>
      <c r="J163" s="36" t="str">
        <f>IF(I163="","",(VLOOKUP(I163,tbDosen[NAMA DOSEN]:tbDosen[[NAMA DOSEN]:[KODE]],2,)))</f>
        <v>-</v>
      </c>
      <c r="K163" s="35" t="s">
        <v>105</v>
      </c>
      <c r="L163" s="36" t="str">
        <f>IF(K163="","",(VLOOKUP(K163,tbDosen[NAMA DOSEN]:tbDosen[[NAMA DOSEN]:[KODE]],2,)))</f>
        <v>-</v>
      </c>
      <c r="M163" s="37" t="str">
        <f>IF(OR(I163="",I163="None"),"",IF(OR(K163="",K163="None"),I163,I163&amp;" / "&amp;K163))</f>
        <v/>
      </c>
      <c r="N163" s="37" t="str">
        <f t="shared" si="20"/>
        <v/>
      </c>
      <c r="O163" s="38" t="str">
        <f>IF(OR(I163="",I163="None"),"",IF(OR(K163="",K163="None"),G163,G163/2))</f>
        <v/>
      </c>
      <c r="P163" s="64" t="str">
        <f>IF(D163="","",(IF(AND(G163=4,U163&lt;2),"ADA",IF(AND(G163&lt;4,U163=0),"ADA","TIDAK"))))</f>
        <v/>
      </c>
      <c r="Q163" s="111"/>
      <c r="R163" s="111"/>
      <c r="S163" s="111"/>
      <c r="T163" s="111"/>
      <c r="U163" s="161">
        <v>0</v>
      </c>
      <c r="V163" s="164" t="str">
        <f t="shared" si="18"/>
        <v/>
      </c>
      <c r="W163" s="11" t="str">
        <f t="shared" si="19"/>
        <v/>
      </c>
      <c r="X163" s="165"/>
      <c r="Y163" s="24"/>
    </row>
    <row r="164" spans="2:25" ht="45" customHeight="1" thickBot="1" x14ac:dyDescent="0.35">
      <c r="B164" s="24"/>
      <c r="C164" s="67"/>
      <c r="D164" s="41" t="s">
        <v>157</v>
      </c>
      <c r="E164" s="256" t="str">
        <f>'TABLE MK'!B29</f>
        <v xml:space="preserve">Forensik  Digital  </v>
      </c>
      <c r="F164" s="256"/>
      <c r="G164" s="256"/>
      <c r="H164" s="256"/>
      <c r="I164" s="41" t="s">
        <v>95</v>
      </c>
      <c r="J164" s="40">
        <v>2</v>
      </c>
      <c r="K164" s="42"/>
      <c r="L164" s="43"/>
      <c r="M164" s="43" t="s">
        <v>161</v>
      </c>
      <c r="N164" s="45"/>
      <c r="O164" s="42"/>
      <c r="P164" s="63"/>
      <c r="Q164" s="202"/>
      <c r="R164" s="202"/>
      <c r="S164" s="202"/>
      <c r="T164" s="202"/>
      <c r="U164" s="161">
        <v>0</v>
      </c>
      <c r="V164" s="164" t="str">
        <f t="shared" si="18"/>
        <v/>
      </c>
      <c r="W164" s="11" t="str">
        <f t="shared" si="19"/>
        <v/>
      </c>
      <c r="X164" s="165"/>
      <c r="Y164" s="24"/>
    </row>
    <row r="165" spans="2:25" ht="45" customHeight="1" thickBot="1" x14ac:dyDescent="0.35">
      <c r="B165" s="24"/>
      <c r="C165" s="69" t="str">
        <f t="shared" si="25"/>
        <v>Forensik  Digital   SEM-7 SKS-3 A NS</v>
      </c>
      <c r="D165" s="33" t="str">
        <f>IF(J$164&gt;='TABLE SISTEM'!A$3,'TABLE MK'!A$29,"")</f>
        <v>INF­55201­531</v>
      </c>
      <c r="E165" s="33" t="str">
        <f>IF(D165="","",(VLOOKUP(D165,Table1[Kode MK]:Table1[[#All],[Kode MK]:[Mata Kuliah Prasyarat]],2,)))</f>
        <v xml:space="preserve">Forensik  Digital  </v>
      </c>
      <c r="F165" s="15">
        <f>IF(D165="","",(VLOOKUP(D165,Table1[Kode MK]:Table1[[#All],[Kode MK]:[Mata Kuliah Prasyarat]],3,)))</f>
        <v>7</v>
      </c>
      <c r="G165" s="15">
        <f>IF(D165="","",(VLOOKUP(D165,Table1[Kode MK]:Table1[[#All],[Kode MK]:[Mata Kuliah Prasyarat]],4,)))</f>
        <v>3</v>
      </c>
      <c r="H165" s="15" t="str">
        <f>IF(D165="","","A")</f>
        <v>A</v>
      </c>
      <c r="I165" s="39" t="s">
        <v>139</v>
      </c>
      <c r="J165" s="17" t="str">
        <f>IF(I165="","",(VLOOKUP(I165,tbDosen[NAMA DOSEN]:tbDosen[[NAMA DOSEN]:[KODE]],2,)))</f>
        <v>NS</v>
      </c>
      <c r="K165" s="39" t="s">
        <v>105</v>
      </c>
      <c r="L165" s="17" t="str">
        <f>IF(K165="","",(VLOOKUP(K165,tbDosen[NAMA DOSEN]:tbDosen[[NAMA DOSEN]:[KODE]],2,)))</f>
        <v>-</v>
      </c>
      <c r="M165" s="16" t="str">
        <f>IF(OR(I165="",I165="None"),"",IF(OR(K165="",K165="None"),I165,I165&amp;" / "&amp;K165))</f>
        <v>Novi Safriadi, S.T., M.T.</v>
      </c>
      <c r="N165" s="16" t="str">
        <f>IF(AND(J165&lt;&gt;"-",L165&lt;&gt;"-"),J165&amp;" / "&amp;L165,IF(AND(J165&lt;&gt;"-",L165="-"),J165,""))</f>
        <v>NS</v>
      </c>
      <c r="O165" s="18">
        <f>IF(OR(I165="",I165="None"),"",IF(OR(K165="",K165="None"),G165,G165/2))</f>
        <v>3</v>
      </c>
      <c r="P165" s="60" t="str">
        <f>IF(D165="","",(IF(AND(G165=4,U165&lt;2),"ADA",IF(AND(G165&lt;4,U165=0),"ADA","TIDAK"))))</f>
        <v>TIDAK</v>
      </c>
      <c r="Q165" s="111"/>
      <c r="R165" s="111"/>
      <c r="S165" s="111"/>
      <c r="T165" s="111"/>
      <c r="U165" s="161">
        <v>1</v>
      </c>
      <c r="V165" s="164" t="str">
        <f t="shared" si="18"/>
        <v>PAS</v>
      </c>
      <c r="W165" s="11" t="str">
        <f t="shared" si="19"/>
        <v/>
      </c>
      <c r="X165" s="165">
        <f>IF(J$164=4,20,IF(J$164=3,25,IF(J$164=2,20,40)))</f>
        <v>20</v>
      </c>
      <c r="Y165" s="24"/>
    </row>
    <row r="166" spans="2:25" ht="45" customHeight="1" thickBot="1" x14ac:dyDescent="0.35">
      <c r="B166" s="24"/>
      <c r="C166" s="69" t="str">
        <f t="shared" si="25"/>
        <v>Forensik  Digital   SEM-7 SKS-3 B NS</v>
      </c>
      <c r="D166" s="33" t="str">
        <f>IF(J$164&gt;='TABLE SISTEM'!A$4,'TABLE MK'!A$29,"")</f>
        <v>INF­55201­531</v>
      </c>
      <c r="E166" s="33" t="str">
        <f>IF(D166="","",(VLOOKUP(D166,Table1[Kode MK]:Table1[[#All],[Kode MK]:[Mata Kuliah Prasyarat]],2,)))</f>
        <v xml:space="preserve">Forensik  Digital  </v>
      </c>
      <c r="F166" s="15">
        <f>IF(D166="","",(VLOOKUP(D166,Table1[Kode MK]:Table1[[#All],[Kode MK]:[Mata Kuliah Prasyarat]],3,)))</f>
        <v>7</v>
      </c>
      <c r="G166" s="15">
        <f>IF(D166="","",(VLOOKUP(D166,Table1[Kode MK]:Table1[[#All],[Kode MK]:[Mata Kuliah Prasyarat]],4,)))</f>
        <v>3</v>
      </c>
      <c r="H166" s="15" t="str">
        <f>IF(D166="","","B")</f>
        <v>B</v>
      </c>
      <c r="I166" s="21" t="s">
        <v>139</v>
      </c>
      <c r="J166" s="17" t="str">
        <f>IF(I166="","",(VLOOKUP(I166,tbDosen[NAMA DOSEN]:tbDosen[[NAMA DOSEN]:[KODE]],2,)))</f>
        <v>NS</v>
      </c>
      <c r="K166" s="21" t="s">
        <v>105</v>
      </c>
      <c r="L166" s="17" t="str">
        <f>IF(K166="","",(VLOOKUP(K166,tbDosen[NAMA DOSEN]:tbDosen[[NAMA DOSEN]:[KODE]],2,)))</f>
        <v>-</v>
      </c>
      <c r="M166" s="16" t="str">
        <f>IF(OR(I166="",I166="None"),"",IF(OR(K166="",K166="None"),I166,I166&amp;" / "&amp;K166))</f>
        <v>Novi Safriadi, S.T., M.T.</v>
      </c>
      <c r="N166" s="16" t="str">
        <f>IF(AND(J166&lt;&gt;"-",L166&lt;&gt;"-"),J166&amp;" / "&amp;L166,IF(AND(J166&lt;&gt;"-",L166="-"),J166,""))</f>
        <v>NS</v>
      </c>
      <c r="O166" s="18">
        <f>IF(OR(I166="",I166="None"),"",IF(OR(K166="",K166="None"),G166,G166/2))</f>
        <v>3</v>
      </c>
      <c r="P166" s="61" t="str">
        <f>IF(D166="","",(IF(AND(G166=4,U166&lt;2),"ADA",IF(AND(G166&lt;4,U166=0),"ADA","TIDAK"))))</f>
        <v>TIDAK</v>
      </c>
      <c r="Q166" s="111"/>
      <c r="R166" s="111"/>
      <c r="S166" s="111"/>
      <c r="T166" s="111"/>
      <c r="U166" s="161">
        <v>1</v>
      </c>
      <c r="V166" s="164" t="str">
        <f t="shared" si="18"/>
        <v>PAS</v>
      </c>
      <c r="W166" s="11" t="str">
        <f t="shared" si="19"/>
        <v/>
      </c>
      <c r="X166" s="165">
        <f>IF(J$164=4,20,IF(J$164=3,25,IF(J$164=2,20,40)))</f>
        <v>20</v>
      </c>
      <c r="Y166" s="24"/>
    </row>
    <row r="167" spans="2:25" ht="45" customHeight="1" thickBot="1" x14ac:dyDescent="0.35">
      <c r="B167" s="24"/>
      <c r="C167" s="69" t="str">
        <f t="shared" si="25"/>
        <v>-</v>
      </c>
      <c r="D167" s="33" t="str">
        <f>IF(J$164&gt;='TABLE SISTEM'!A$5,'TABLE MK'!A$29,"")</f>
        <v/>
      </c>
      <c r="E167" s="33" t="str">
        <f>IF(D167="","",(VLOOKUP(D167,Table1[Kode MK]:Table1[[#All],[Kode MK]:[Mata Kuliah Prasyarat]],2,)))</f>
        <v/>
      </c>
      <c r="F167" s="15" t="str">
        <f>IF(D167="","",(VLOOKUP(D167,Table1[Kode MK]:Table1[[#All],[Kode MK]:[Mata Kuliah Prasyarat]],3,)))</f>
        <v/>
      </c>
      <c r="G167" s="15" t="str">
        <f>IF(D167="","",(VLOOKUP(D167,Table1[Kode MK]:Table1[[#All],[Kode MK]:[Mata Kuliah Prasyarat]],4,)))</f>
        <v/>
      </c>
      <c r="H167" s="15" t="str">
        <f>IF(D167="","","C")</f>
        <v/>
      </c>
      <c r="I167" s="21" t="s">
        <v>105</v>
      </c>
      <c r="J167" s="17" t="str">
        <f>IF(I167="","",(VLOOKUP(I167,tbDosen[NAMA DOSEN]:tbDosen[[NAMA DOSEN]:[KODE]],2,)))</f>
        <v>-</v>
      </c>
      <c r="K167" s="21" t="s">
        <v>105</v>
      </c>
      <c r="L167" s="17" t="str">
        <f>IF(K167="","",(VLOOKUP(K167,tbDosen[NAMA DOSEN]:tbDosen[[NAMA DOSEN]:[KODE]],2,)))</f>
        <v>-</v>
      </c>
      <c r="M167" s="16" t="str">
        <f>IF(OR(I167="",I167="None"),"",IF(OR(K167="",K167="None"),I167,I167&amp;" / "&amp;K167))</f>
        <v/>
      </c>
      <c r="N167" s="16" t="str">
        <f>IF(AND(J167&lt;&gt;"-",L167&lt;&gt;"-"),J167&amp;" / "&amp;L167,IF(AND(J167&lt;&gt;"-",L167="-"),J167,""))</f>
        <v/>
      </c>
      <c r="O167" s="18" t="str">
        <f>IF(OR(I167="",I167="None"),"",IF(OR(K167="",K167="None"),G167,G167/2))</f>
        <v/>
      </c>
      <c r="P167" s="61" t="str">
        <f>IF(D167="","",(IF(AND(G167=4,U167&lt;2),"ADA",IF(AND(G167&lt;4,U167=0),"ADA","TIDAK"))))</f>
        <v/>
      </c>
      <c r="Q167" s="111"/>
      <c r="R167" s="111"/>
      <c r="S167" s="111"/>
      <c r="T167" s="111"/>
      <c r="U167" s="161">
        <v>0</v>
      </c>
      <c r="V167" s="164" t="str">
        <f t="shared" si="18"/>
        <v/>
      </c>
      <c r="W167" s="11" t="str">
        <f t="shared" si="19"/>
        <v/>
      </c>
      <c r="X167" s="165"/>
      <c r="Y167" s="24"/>
    </row>
    <row r="168" spans="2:25" ht="45" customHeight="1" thickBot="1" x14ac:dyDescent="0.35">
      <c r="B168" s="24"/>
      <c r="C168" s="69" t="str">
        <f t="shared" si="25"/>
        <v>-</v>
      </c>
      <c r="D168" s="33" t="str">
        <f>IF(J$164&gt;='TABLE SISTEM'!A$6,'TABLE MK'!A$29,"")</f>
        <v/>
      </c>
      <c r="E168" s="33" t="str">
        <f>IF(D168="","",(VLOOKUP(D168,Table1[Kode MK]:Table1[[#All],[Kode MK]:[Mata Kuliah Prasyarat]],2,)))</f>
        <v/>
      </c>
      <c r="F168" s="15" t="str">
        <f>IF(D168="","",(VLOOKUP(D168,Table1[Kode MK]:Table1[[#All],[Kode MK]:[Mata Kuliah Prasyarat]],3,)))</f>
        <v/>
      </c>
      <c r="G168" s="15" t="str">
        <f>IF(D168="","",(VLOOKUP(D168,Table1[Kode MK]:Table1[[#All],[Kode MK]:[Mata Kuliah Prasyarat]],4,)))</f>
        <v/>
      </c>
      <c r="H168" s="15" t="str">
        <f>IF(D168="","","D")</f>
        <v/>
      </c>
      <c r="I168" s="21" t="s">
        <v>105</v>
      </c>
      <c r="J168" s="17" t="str">
        <f>IF(I168="","",(VLOOKUP(I168,tbDosen[NAMA DOSEN]:tbDosen[[NAMA DOSEN]:[KODE]],2,)))</f>
        <v>-</v>
      </c>
      <c r="K168" s="21" t="s">
        <v>105</v>
      </c>
      <c r="L168" s="17" t="str">
        <f>IF(K168="","",(VLOOKUP(K168,tbDosen[NAMA DOSEN]:tbDosen[[NAMA DOSEN]:[KODE]],2,)))</f>
        <v>-</v>
      </c>
      <c r="M168" s="16" t="str">
        <f>IF(OR(I168="",I168="None"),"",IF(OR(K168="",K168="None"),I168,I168&amp;" / "&amp;K168))</f>
        <v/>
      </c>
      <c r="N168" s="16" t="str">
        <f>IF(AND(J168&lt;&gt;"-",L168&lt;&gt;"-"),J168&amp;" / "&amp;L168,IF(AND(J168&lt;&gt;"-",L168="-"),J168,""))</f>
        <v/>
      </c>
      <c r="O168" s="18" t="str">
        <f>IF(OR(I168="",I168="None"),"",IF(OR(K168="",K168="None"),G168,G168/2))</f>
        <v/>
      </c>
      <c r="P168" s="61" t="str">
        <f>IF(D168="","",(IF(AND(G168=4,U168&lt;2),"ADA",IF(AND(G168&lt;4,U168=0),"ADA","TIDAK"))))</f>
        <v/>
      </c>
      <c r="Q168" s="111"/>
      <c r="R168" s="111"/>
      <c r="S168" s="111"/>
      <c r="T168" s="111"/>
      <c r="U168" s="161">
        <v>0</v>
      </c>
      <c r="V168" s="164" t="str">
        <f t="shared" si="18"/>
        <v/>
      </c>
      <c r="W168" s="11" t="str">
        <f t="shared" si="19"/>
        <v/>
      </c>
      <c r="X168" s="165"/>
      <c r="Y168" s="24"/>
    </row>
    <row r="169" spans="2:25" ht="45" customHeight="1" thickBot="1" x14ac:dyDescent="0.35">
      <c r="B169" s="24"/>
      <c r="C169" s="69" t="str">
        <f t="shared" si="25"/>
        <v>-</v>
      </c>
      <c r="D169" s="33" t="str">
        <f>IF(J$164&gt;='TABLE SISTEM'!A$7,'TABLE MK'!A$29,"")</f>
        <v/>
      </c>
      <c r="E169" s="33" t="str">
        <f>IF(D169="","",(VLOOKUP(D169,Table1[Kode MK]:Table1[[#All],[Kode MK]:[Mata Kuliah Prasyarat]],2,)))</f>
        <v/>
      </c>
      <c r="F169" s="15" t="str">
        <f>IF(D169="","",(VLOOKUP(D169,Table1[Kode MK]:Table1[[#All],[Kode MK]:[Mata Kuliah Prasyarat]],3,)))</f>
        <v/>
      </c>
      <c r="G169" s="15" t="str">
        <f>IF(D169="","",(VLOOKUP(D169,Table1[Kode MK]:Table1[[#All],[Kode MK]:[Mata Kuliah Prasyarat]],4,)))</f>
        <v/>
      </c>
      <c r="H169" s="34" t="str">
        <f>IF(D169="","","E")</f>
        <v/>
      </c>
      <c r="I169" s="35" t="s">
        <v>105</v>
      </c>
      <c r="J169" s="36" t="str">
        <f>IF(I169="","",(VLOOKUP(I169,tbDosen[NAMA DOSEN]:tbDosen[[NAMA DOSEN]:[KODE]],2,)))</f>
        <v>-</v>
      </c>
      <c r="K169" s="35" t="s">
        <v>105</v>
      </c>
      <c r="L169" s="36" t="str">
        <f>IF(K169="","",(VLOOKUP(K169,tbDosen[NAMA DOSEN]:tbDosen[[NAMA DOSEN]:[KODE]],2,)))</f>
        <v>-</v>
      </c>
      <c r="M169" s="37" t="str">
        <f>IF(OR(I169="",I169="None"),"",IF(OR(K169="",K169="None"),I169,I169&amp;" / "&amp;K169))</f>
        <v/>
      </c>
      <c r="N169" s="37" t="str">
        <f>IF(AND(J169&lt;&gt;"-",L169&lt;&gt;"-"),J169&amp;" / "&amp;L169,IF(AND(J169&lt;&gt;"-",L169="-"),J169,""))</f>
        <v/>
      </c>
      <c r="O169" s="38" t="str">
        <f>IF(OR(I169="",I169="None"),"",IF(OR(K169="",K169="None"),G169,G169/2))</f>
        <v/>
      </c>
      <c r="P169" s="64" t="str">
        <f>IF(D169="","",(IF(AND(G169=4,U169&lt;2),"ADA",IF(AND(G169&lt;4,U169=0),"ADA","TIDAK"))))</f>
        <v/>
      </c>
      <c r="Q169" s="111"/>
      <c r="R169" s="111"/>
      <c r="S169" s="111"/>
      <c r="T169" s="111"/>
      <c r="U169" s="161">
        <v>0</v>
      </c>
      <c r="V169" s="164" t="str">
        <f t="shared" ref="V169:V182" si="26">IF(G169="","",IF(OR(G169=2,G169=3),IF((U169&lt;1),"KURANG",IF(U169&gt;1,"LEBIH","PAS")),IF(G169=4,IF(U169&lt;2,"KURANG",IF(U169&gt;2,"LEBIH","PAS")))))</f>
        <v/>
      </c>
      <c r="W169" s="11" t="str">
        <f t="shared" ref="W169:W180" si="27">IF(P169="ADA",C169,"")</f>
        <v/>
      </c>
      <c r="X169" s="165"/>
      <c r="Y169" s="24"/>
    </row>
    <row r="170" spans="2:25" ht="45" customHeight="1" thickBot="1" x14ac:dyDescent="0.35">
      <c r="B170" s="24"/>
      <c r="C170" s="67"/>
      <c r="D170" s="41" t="s">
        <v>157</v>
      </c>
      <c r="E170" s="256">
        <f>'TABLE MK'!B32</f>
        <v>0</v>
      </c>
      <c r="F170" s="256"/>
      <c r="G170" s="256"/>
      <c r="H170" s="256"/>
      <c r="I170" s="41" t="s">
        <v>95</v>
      </c>
      <c r="J170" s="40">
        <v>2</v>
      </c>
      <c r="K170" s="42"/>
      <c r="L170" s="43"/>
      <c r="M170" s="43" t="s">
        <v>161</v>
      </c>
      <c r="N170" s="45"/>
      <c r="O170" s="42"/>
      <c r="P170" s="63"/>
      <c r="Q170" s="202"/>
      <c r="R170" s="202"/>
      <c r="S170" s="202"/>
      <c r="T170" s="202"/>
      <c r="U170" s="161">
        <v>0</v>
      </c>
      <c r="V170" s="164" t="str">
        <f t="shared" si="26"/>
        <v/>
      </c>
      <c r="W170" s="11" t="str">
        <f t="shared" si="27"/>
        <v/>
      </c>
      <c r="X170" s="165"/>
      <c r="Y170" s="24"/>
    </row>
    <row r="171" spans="2:25" ht="45" customHeight="1" thickBot="1" x14ac:dyDescent="0.35">
      <c r="B171" s="24"/>
      <c r="C171" s="69" t="str">
        <f>IF(OR(I171="",I171="None"),"-",IF(OR(K171="",K171="None"),E171&amp;" "&amp;"SEM-"&amp;F171&amp;" "&amp;"SKS-"&amp;G171&amp;" "&amp;H171&amp;" "&amp;J171,E171&amp;" "&amp;"SEM-"&amp;F171&amp;" SKS-"&amp;G171&amp;" "&amp;"S"&amp;H171&amp;" "&amp;H171&amp;" "&amp;J171&amp;"/"&amp;L171))</f>
        <v>-</v>
      </c>
      <c r="D171" s="33">
        <f>IF(J$170&gt;='TABLE SISTEM'!A$3,'TABLE MK'!A$32,"")</f>
        <v>0</v>
      </c>
      <c r="E171" s="33" t="e">
        <f>IF(D171="","",(VLOOKUP(D171,Table1[Kode MK]:Table1[[#All],[Kode MK]:[Mata Kuliah Prasyarat]],2,)))</f>
        <v>#N/A</v>
      </c>
      <c r="F171" s="34" t="e">
        <f>IF(D171="","",(VLOOKUP(D171,Table1[Kode MK]:Table1[[#All],[Kode MK]:[Mata Kuliah Prasyarat]],3,)))</f>
        <v>#N/A</v>
      </c>
      <c r="G171" s="34" t="e">
        <f>IF(D171="","",(VLOOKUP(D171,Table1[Kode MK]:Table1[[#All],[Kode MK]:[Mata Kuliah Prasyarat]],4,)))</f>
        <v>#N/A</v>
      </c>
      <c r="H171" s="15" t="str">
        <f>IF(D171="","","A")</f>
        <v>A</v>
      </c>
      <c r="I171" s="71" t="s">
        <v>105</v>
      </c>
      <c r="J171" s="72" t="str">
        <f>IF(I171="","",(VLOOKUP(I171,tbDosen[NAMA DOSEN]:tbDosen[[NAMA DOSEN]:[KODE]],2,)))</f>
        <v>-</v>
      </c>
      <c r="K171" s="71" t="s">
        <v>105</v>
      </c>
      <c r="L171" s="36" t="str">
        <f>IF(K171="","",(VLOOKUP(K171,tbDosen[NAMA DOSEN]:tbDosen[[NAMA DOSEN]:[KODE]],2,)))</f>
        <v>-</v>
      </c>
      <c r="M171" s="37" t="str">
        <f>IF(OR(I171="",I171="None"),"",IF(OR(K171="",K171="None"),I171,I171&amp;" / "&amp;K171))</f>
        <v/>
      </c>
      <c r="N171" s="37" t="str">
        <f>IF(AND(J171&lt;&gt;"-",L171&lt;&gt;"-"),J171&amp;" / "&amp;L171,IF(AND(J171&lt;&gt;"-",L171="-"),J171,""))</f>
        <v/>
      </c>
      <c r="O171" s="38" t="str">
        <f>IF(OR(I171="",I171="None"),"",IF(OR(K171="",K171="None"),G171,G171/2))</f>
        <v/>
      </c>
      <c r="P171" s="64" t="e">
        <f>IF(D171="","",(IF(AND(G171=4,U171&lt;2),"ADA",IF(AND(G171&lt;4,U171=0),"ADA","TIDAK"))))</f>
        <v>#N/A</v>
      </c>
      <c r="Q171" s="111"/>
      <c r="R171" s="111"/>
      <c r="S171" s="111"/>
      <c r="T171" s="111"/>
      <c r="U171" s="161">
        <v>0</v>
      </c>
      <c r="V171" s="164" t="e">
        <f t="shared" si="26"/>
        <v>#N/A</v>
      </c>
      <c r="W171" s="11" t="e">
        <f t="shared" si="27"/>
        <v>#N/A</v>
      </c>
      <c r="X171" s="165"/>
      <c r="Y171" s="24"/>
    </row>
    <row r="172" spans="2:25" ht="45" customHeight="1" thickBot="1" x14ac:dyDescent="0.35">
      <c r="B172" s="24"/>
      <c r="C172" s="69" t="str">
        <f>IF(OR(I172="",I172="None"),"-",IF(OR(K172="",K172="None"),E172&amp;" "&amp;"SEM-"&amp;F172&amp;" "&amp;"SKS-"&amp;G172&amp;" "&amp;H172&amp;" "&amp;J172,E172&amp;" "&amp;"SEM-"&amp;F172&amp;" SKS-"&amp;G172&amp;" "&amp;"S"&amp;H172&amp;" "&amp;H172&amp;" "&amp;J172&amp;"/"&amp;L172))</f>
        <v>-</v>
      </c>
      <c r="D172" s="33">
        <f>IF(J$170&gt;='TABLE SISTEM'!A$4,'TABLE MK'!A$32,"")</f>
        <v>0</v>
      </c>
      <c r="E172" s="33" t="e">
        <f>IF(D172="","",(VLOOKUP(D172,Table1[Kode MK]:Table1[[#All],[Kode MK]:[Mata Kuliah Prasyarat]],2,)))</f>
        <v>#N/A</v>
      </c>
      <c r="F172" s="34" t="e">
        <f>IF(D172="","",(VLOOKUP(D172,Table1[Kode MK]:Table1[[#All],[Kode MK]:[Mata Kuliah Prasyarat]],3,)))</f>
        <v>#N/A</v>
      </c>
      <c r="G172" s="34" t="e">
        <f>IF(D172="","",(VLOOKUP(D172,Table1[Kode MK]:Table1[[#All],[Kode MK]:[Mata Kuliah Prasyarat]],4,)))</f>
        <v>#N/A</v>
      </c>
      <c r="H172" s="15" t="str">
        <f>IF(D172="","","B")</f>
        <v>B</v>
      </c>
      <c r="I172" s="35" t="s">
        <v>105</v>
      </c>
      <c r="J172" s="36" t="str">
        <f>IF(I172="","",(VLOOKUP(I172,tbDosen[NAMA DOSEN]:tbDosen[[NAMA DOSEN]:[KODE]],2,)))</f>
        <v>-</v>
      </c>
      <c r="K172" s="35" t="s">
        <v>105</v>
      </c>
      <c r="L172" s="36" t="str">
        <f>IF(K172="","",(VLOOKUP(K172,tbDosen[NAMA DOSEN]:tbDosen[[NAMA DOSEN]:[KODE]],2,)))</f>
        <v>-</v>
      </c>
      <c r="M172" s="37" t="str">
        <f>IF(OR(I172="",I172="None"),"",IF(OR(K172="",K172="None"),I172,I172&amp;" / "&amp;K172))</f>
        <v/>
      </c>
      <c r="N172" s="37" t="str">
        <f>IF(AND(J172&lt;&gt;"-",L172&lt;&gt;"-"),J172&amp;" / "&amp;L172,IF(AND(J172&lt;&gt;"-",L172="-"),J172,""))</f>
        <v/>
      </c>
      <c r="O172" s="38" t="str">
        <f>IF(OR(I172="",I172="None"),"",IF(OR(K172="",K172="None"),G172,G172/2))</f>
        <v/>
      </c>
      <c r="P172" s="64" t="e">
        <f>IF(D172="","",(IF(AND(G172=4,U172&lt;2),"ADA",IF(AND(G172&lt;4,U172=0),"ADA","TIDAK"))))</f>
        <v>#N/A</v>
      </c>
      <c r="Q172" s="111"/>
      <c r="R172" s="111"/>
      <c r="S172" s="111"/>
      <c r="T172" s="111"/>
      <c r="U172" s="161">
        <v>0</v>
      </c>
      <c r="V172" s="164" t="e">
        <f t="shared" si="26"/>
        <v>#N/A</v>
      </c>
      <c r="W172" s="11" t="e">
        <f t="shared" si="27"/>
        <v>#N/A</v>
      </c>
      <c r="X172" s="165"/>
      <c r="Y172" s="24"/>
    </row>
    <row r="173" spans="2:25" ht="45" customHeight="1" thickBot="1" x14ac:dyDescent="0.35">
      <c r="B173" s="24"/>
      <c r="C173" s="69" t="str">
        <f>IF(OR(I173="",I173="None"),"-",IF(OR(K173="",K173="None"),E173&amp;" "&amp;"SEM-"&amp;F173&amp;" "&amp;"SKS-"&amp;G173&amp;" "&amp;H173&amp;" "&amp;J173,E173&amp;" "&amp;"SEM-"&amp;F173&amp;" SKS-"&amp;G173&amp;" "&amp;"S"&amp;H173&amp;" "&amp;H173&amp;" "&amp;J173&amp;"/"&amp;L173))</f>
        <v>-</v>
      </c>
      <c r="D173" s="33" t="str">
        <f>IF(J$170&gt;='TABLE SISTEM'!A$5,'TABLE MK'!A$32,"")</f>
        <v/>
      </c>
      <c r="E173" s="33" t="str">
        <f>IF(D173="","",(VLOOKUP(D173,Table1[Kode MK]:Table1[[#All],[Kode MK]:[Mata Kuliah Prasyarat]],2,)))</f>
        <v/>
      </c>
      <c r="F173" s="34" t="str">
        <f>IF(D173="","",(VLOOKUP(D173,Table1[Kode MK]:Table1[[#All],[Kode MK]:[Mata Kuliah Prasyarat]],3,)))</f>
        <v/>
      </c>
      <c r="G173" s="34" t="str">
        <f>IF(D173="","",(VLOOKUP(D173,Table1[Kode MK]:Table1[[#All],[Kode MK]:[Mata Kuliah Prasyarat]],4,)))</f>
        <v/>
      </c>
      <c r="H173" s="15" t="str">
        <f>IF(D173="","","C")</f>
        <v/>
      </c>
      <c r="I173" s="35" t="s">
        <v>105</v>
      </c>
      <c r="J173" s="36" t="str">
        <f>IF(I173="","",(VLOOKUP(I173,tbDosen[NAMA DOSEN]:tbDosen[[NAMA DOSEN]:[KODE]],2,)))</f>
        <v>-</v>
      </c>
      <c r="K173" s="35" t="s">
        <v>105</v>
      </c>
      <c r="L173" s="36" t="str">
        <f>IF(K173="","",(VLOOKUP(K173,tbDosen[NAMA DOSEN]:tbDosen[[NAMA DOSEN]:[KODE]],2,)))</f>
        <v>-</v>
      </c>
      <c r="M173" s="37" t="str">
        <f>IF(OR(I173="",I173="None"),"",IF(OR(K173="",K173="None"),I173,I173&amp;" / "&amp;K173))</f>
        <v/>
      </c>
      <c r="N173" s="37" t="str">
        <f>IF(AND(J173&lt;&gt;"-",L173&lt;&gt;"-"),J173&amp;" / "&amp;L173,IF(AND(J173&lt;&gt;"-",L173="-"),J173,""))</f>
        <v/>
      </c>
      <c r="O173" s="38" t="str">
        <f>IF(OR(I173="",I173="None"),"",IF(OR(K173="",K173="None"),G173,G173/2))</f>
        <v/>
      </c>
      <c r="P173" s="64" t="str">
        <f>IF(D173="","",(IF(AND(G173=4,U173&lt;2),"ADA",IF(AND(G173&lt;4,U173=0),"ADA","TIDAK"))))</f>
        <v/>
      </c>
      <c r="Q173" s="111"/>
      <c r="R173" s="111"/>
      <c r="S173" s="111"/>
      <c r="T173" s="111"/>
      <c r="U173" s="161">
        <v>0</v>
      </c>
      <c r="V173" s="164" t="str">
        <f t="shared" si="26"/>
        <v/>
      </c>
      <c r="W173" s="11" t="str">
        <f t="shared" si="27"/>
        <v/>
      </c>
      <c r="X173" s="165"/>
      <c r="Y173" s="24"/>
    </row>
    <row r="174" spans="2:25" ht="45" customHeight="1" thickBot="1" x14ac:dyDescent="0.35">
      <c r="B174" s="24"/>
      <c r="C174" s="69" t="str">
        <f>IF(OR(I174="",I174="None"),"-",IF(OR(K174="",K174="None"),E174&amp;" "&amp;"SEM-"&amp;F174&amp;" "&amp;"SKS-"&amp;G174&amp;" "&amp;H174&amp;" "&amp;J174,E174&amp;" "&amp;"SEM-"&amp;F174&amp;" SKS-"&amp;G174&amp;" "&amp;"S"&amp;H174&amp;" "&amp;H174&amp;" "&amp;J174&amp;"/"&amp;L174))</f>
        <v>-</v>
      </c>
      <c r="D174" s="33" t="str">
        <f>IF(J$170&gt;='TABLE SISTEM'!A$6,'TABLE MK'!A$32,"")</f>
        <v/>
      </c>
      <c r="E174" s="33" t="str">
        <f>IF(D174="","",(VLOOKUP(D174,Table1[Kode MK]:Table1[[#All],[Kode MK]:[Mata Kuliah Prasyarat]],2,)))</f>
        <v/>
      </c>
      <c r="F174" s="34" t="str">
        <f>IF(D174="","",(VLOOKUP(D174,Table1[Kode MK]:Table1[[#All],[Kode MK]:[Mata Kuliah Prasyarat]],3,)))</f>
        <v/>
      </c>
      <c r="G174" s="34" t="str">
        <f>IF(D174="","",(VLOOKUP(D174,Table1[Kode MK]:Table1[[#All],[Kode MK]:[Mata Kuliah Prasyarat]],4,)))</f>
        <v/>
      </c>
      <c r="H174" s="15" t="str">
        <f>IF(D174="","","D")</f>
        <v/>
      </c>
      <c r="I174" s="35" t="s">
        <v>105</v>
      </c>
      <c r="J174" s="36" t="str">
        <f>IF(I174="","",(VLOOKUP(I174,tbDosen[NAMA DOSEN]:tbDosen[[NAMA DOSEN]:[KODE]],2,)))</f>
        <v>-</v>
      </c>
      <c r="K174" s="35" t="s">
        <v>105</v>
      </c>
      <c r="L174" s="36" t="str">
        <f>IF(K174="","",(VLOOKUP(K174,tbDosen[NAMA DOSEN]:tbDosen[[NAMA DOSEN]:[KODE]],2,)))</f>
        <v>-</v>
      </c>
      <c r="M174" s="37" t="str">
        <f>IF(OR(I174="",I174="None"),"",IF(OR(K174="",K174="None"),I174,I174&amp;" / "&amp;K174))</f>
        <v/>
      </c>
      <c r="N174" s="37" t="str">
        <f>IF(AND(J174&lt;&gt;"-",L174&lt;&gt;"-"),J174&amp;" / "&amp;L174,IF(AND(J174&lt;&gt;"-",L174="-"),J174,""))</f>
        <v/>
      </c>
      <c r="O174" s="38" t="str">
        <f>IF(OR(I174="",I174="None"),"",IF(OR(K174="",K174="None"),G174,G174/2))</f>
        <v/>
      </c>
      <c r="P174" s="64" t="str">
        <f>IF(D174="","",(IF(AND(G174=4,U174&lt;2),"ADA",IF(AND(G174&lt;4,U174=0),"ADA","TIDAK"))))</f>
        <v/>
      </c>
      <c r="Q174" s="111"/>
      <c r="R174" s="111"/>
      <c r="S174" s="111"/>
      <c r="T174" s="111"/>
      <c r="U174" s="161">
        <v>0</v>
      </c>
      <c r="V174" s="164" t="str">
        <f t="shared" si="26"/>
        <v/>
      </c>
      <c r="W174" s="11" t="str">
        <f t="shared" si="27"/>
        <v/>
      </c>
      <c r="X174" s="165"/>
      <c r="Y174" s="24"/>
    </row>
    <row r="175" spans="2:25" ht="45" customHeight="1" thickBot="1" x14ac:dyDescent="0.35">
      <c r="B175" s="24"/>
      <c r="C175" s="69" t="str">
        <f>IF(OR(I175="",I175="None"),"-",IF(OR(K175="",K175="None"),E175&amp;" "&amp;"SEM-"&amp;F175&amp;" "&amp;"SKS-"&amp;G175&amp;" "&amp;H175&amp;" "&amp;J175,E175&amp;" "&amp;"SEM-"&amp;F175&amp;" SKS-"&amp;G175&amp;" "&amp;"S"&amp;H175&amp;" "&amp;H175&amp;" "&amp;J175&amp;"/"&amp;L175))</f>
        <v>-</v>
      </c>
      <c r="D175" s="33" t="str">
        <f>IF(J$170&gt;='TABLE SISTEM'!A$7,'TABLE MK'!A$32,"")</f>
        <v/>
      </c>
      <c r="E175" s="33" t="str">
        <f>IF(D175="","",(VLOOKUP(D175,Table1[Kode MK]:Table1[[#All],[Kode MK]:[Mata Kuliah Prasyarat]],2,)))</f>
        <v/>
      </c>
      <c r="F175" s="34" t="str">
        <f>IF(D175="","",(VLOOKUP(D175,Table1[Kode MK]:Table1[[#All],[Kode MK]:[Mata Kuliah Prasyarat]],3,)))</f>
        <v/>
      </c>
      <c r="G175" s="34" t="str">
        <f>IF(D175="","",(VLOOKUP(D175,Table1[Kode MK]:Table1[[#All],[Kode MK]:[Mata Kuliah Prasyarat]],4,)))</f>
        <v/>
      </c>
      <c r="H175" s="34" t="str">
        <f>IF(D175="","","E")</f>
        <v/>
      </c>
      <c r="I175" s="35" t="s">
        <v>105</v>
      </c>
      <c r="J175" s="36" t="str">
        <f>IF(I175="","",(VLOOKUP(I175,tbDosen[NAMA DOSEN]:tbDosen[[NAMA DOSEN]:[KODE]],2,)))</f>
        <v>-</v>
      </c>
      <c r="K175" s="35" t="s">
        <v>105</v>
      </c>
      <c r="L175" s="36" t="str">
        <f>IF(K175="","",(VLOOKUP(K175,tbDosen[NAMA DOSEN]:tbDosen[[NAMA DOSEN]:[KODE]],2,)))</f>
        <v>-</v>
      </c>
      <c r="M175" s="37" t="str">
        <f>IF(OR(I175="",I175="None"),"",IF(OR(K175="",K175="None"),I175,I175&amp;" / "&amp;K175))</f>
        <v/>
      </c>
      <c r="N175" s="37" t="str">
        <f>IF(AND(J175&lt;&gt;"-",L175&lt;&gt;"-"),J175&amp;" / "&amp;L175,IF(AND(J175&lt;&gt;"-",L175="-"),J175,""))</f>
        <v/>
      </c>
      <c r="O175" s="38" t="str">
        <f>IF(OR(I175="",I175="None"),"",IF(OR(K175="",K175="None"),G175,G175/2))</f>
        <v/>
      </c>
      <c r="P175" s="64" t="str">
        <f>IF(D175="","",(IF(AND(G175=4,U175&lt;2),"ADA",IF(AND(G175&lt;4,U175=0),"ADA","TIDAK"))))</f>
        <v/>
      </c>
      <c r="Q175" s="111"/>
      <c r="R175" s="111"/>
      <c r="S175" s="111"/>
      <c r="T175" s="111"/>
      <c r="U175" s="161">
        <v>0</v>
      </c>
      <c r="V175" s="164" t="str">
        <f t="shared" si="26"/>
        <v/>
      </c>
      <c r="W175" s="11" t="str">
        <f t="shared" si="27"/>
        <v/>
      </c>
      <c r="X175" s="165"/>
      <c r="Y175" s="24"/>
    </row>
    <row r="176" spans="2:25" ht="45" customHeight="1" thickBot="1" x14ac:dyDescent="0.35">
      <c r="B176" s="24"/>
      <c r="C176" s="67"/>
      <c r="D176" s="41" t="s">
        <v>157</v>
      </c>
      <c r="E176" s="256" t="str">
        <f>'TABLE MK'!B30</f>
        <v xml:space="preserve">Arsitektur  Perangkat  Lunak  </v>
      </c>
      <c r="F176" s="256"/>
      <c r="G176" s="256"/>
      <c r="H176" s="256"/>
      <c r="I176" s="41" t="s">
        <v>95</v>
      </c>
      <c r="J176" s="40">
        <v>0</v>
      </c>
      <c r="K176" s="42"/>
      <c r="L176" s="43"/>
      <c r="M176" s="43" t="s">
        <v>161</v>
      </c>
      <c r="N176" s="45"/>
      <c r="O176" s="42"/>
      <c r="P176" s="63"/>
      <c r="Q176" s="202"/>
      <c r="R176" s="202"/>
      <c r="S176" s="202"/>
      <c r="T176" s="202"/>
      <c r="U176" s="161">
        <v>0</v>
      </c>
      <c r="V176" s="164" t="str">
        <f t="shared" si="26"/>
        <v/>
      </c>
      <c r="W176" s="11" t="str">
        <f t="shared" si="27"/>
        <v/>
      </c>
      <c r="X176" s="165"/>
      <c r="Y176" s="24"/>
    </row>
    <row r="177" spans="2:25" ht="18" thickBot="1" x14ac:dyDescent="0.35">
      <c r="B177" s="24"/>
      <c r="C177" s="69" t="str">
        <f t="shared" ref="C177:C181" si="28">IF(OR(I177="",I177="None"),"-",IF(OR(K177="",K177="None"),E177&amp;" "&amp;"SEM-"&amp;F177&amp;" "&amp;"SKS-"&amp;G177&amp;" "&amp;H177&amp;" "&amp;J177,E177&amp;" "&amp;"SEM-"&amp;F177&amp;" SKS-"&amp;G177&amp;" "&amp;"S"&amp;H177&amp;" "&amp;H177&amp;" "&amp;J177&amp;"/"&amp;L177))</f>
        <v>-</v>
      </c>
      <c r="D177" s="33" t="str">
        <f>IF(J$176&gt;='TABLE SISTEM'!A$3,'TABLE MK'!A$30,"")</f>
        <v/>
      </c>
      <c r="E177" s="33" t="str">
        <f>IF(D177="","",(VLOOKUP(D177,Table1[Kode MK]:Table1[[#All],[Kode MK]:[Mata Kuliah Prasyarat]],2,)))</f>
        <v/>
      </c>
      <c r="F177" s="34" t="str">
        <f>IF(D177="","",(VLOOKUP(D177,Table1[Kode MK]:Table1[[#All],[Kode MK]:[Mata Kuliah Prasyarat]],3,)))</f>
        <v/>
      </c>
      <c r="G177" s="34" t="str">
        <f>IF(D177="","",(VLOOKUP(D177,Table1[Kode MK]:Table1[[#All],[Kode MK]:[Mata Kuliah Prasyarat]],4,)))</f>
        <v/>
      </c>
      <c r="H177" s="15" t="str">
        <f>IF(D177="","","A")</f>
        <v/>
      </c>
      <c r="I177" s="71" t="s">
        <v>105</v>
      </c>
      <c r="J177" s="72" t="str">
        <f>IF(I177="","",(VLOOKUP(I177,tbDosen[NAMA DOSEN]:tbDosen[[NAMA DOSEN]:[KODE]],2,)))</f>
        <v>-</v>
      </c>
      <c r="K177" s="71" t="s">
        <v>105</v>
      </c>
      <c r="L177" s="36" t="str">
        <f>IF(K177="","",(VLOOKUP(K177,tbDosen[NAMA DOSEN]:tbDosen[[NAMA DOSEN]:[KODE]],2,)))</f>
        <v>-</v>
      </c>
      <c r="M177" s="37" t="str">
        <f>IF(OR(I177="",I177="None"),"",IF(OR(K177="",K177="None"),I177,I177&amp;" / "&amp;K177))</f>
        <v/>
      </c>
      <c r="N177" s="37" t="str">
        <f t="shared" ref="N177:N181" si="29">IF(AND(J177&lt;&gt;"-",L177&lt;&gt;"-"),J177&amp;" / "&amp;L177,IF(AND(J177&lt;&gt;"-",L177="-"),J177,""))</f>
        <v/>
      </c>
      <c r="O177" s="38" t="str">
        <f>IF(OR(I177="",I177="None"),"",IF(OR(K177="",K177="None"),G177,G177/2))</f>
        <v/>
      </c>
      <c r="P177" s="64" t="str">
        <f>IF(D177="","",(IF(AND(G177=4,U177&lt;2),"ADA",IF(AND(G177&lt;4,U177=0),"ADA","TIDAK"))))</f>
        <v/>
      </c>
      <c r="Q177" s="111"/>
      <c r="R177" s="111"/>
      <c r="S177" s="111"/>
      <c r="T177" s="111"/>
      <c r="U177" s="161">
        <v>0</v>
      </c>
      <c r="V177" s="164" t="str">
        <f t="shared" si="26"/>
        <v/>
      </c>
      <c r="W177" s="11" t="str">
        <f t="shared" si="27"/>
        <v/>
      </c>
      <c r="X177" s="11"/>
      <c r="Y177" s="24"/>
    </row>
    <row r="178" spans="2:25" ht="49.2" customHeight="1" thickBot="1" x14ac:dyDescent="0.35">
      <c r="C178" s="69" t="str">
        <f t="shared" si="28"/>
        <v>-</v>
      </c>
      <c r="D178" s="33" t="str">
        <f>IF(J$176&gt;='TABLE SISTEM'!A$4,'TABLE MK'!A$30,"")</f>
        <v/>
      </c>
      <c r="E178" s="33" t="str">
        <f>IF(D178="","",(VLOOKUP(D178,Table1[Kode MK]:Table1[[#All],[Kode MK]:[Mata Kuliah Prasyarat]],2,)))</f>
        <v/>
      </c>
      <c r="F178" s="34" t="str">
        <f>IF(D178="","",(VLOOKUP(D178,Table1[Kode MK]:Table1[[#All],[Kode MK]:[Mata Kuliah Prasyarat]],3,)))</f>
        <v/>
      </c>
      <c r="G178" s="34" t="str">
        <f>IF(D178="","",(VLOOKUP(D178,Table1[Kode MK]:Table1[[#All],[Kode MK]:[Mata Kuliah Prasyarat]],4,)))</f>
        <v/>
      </c>
      <c r="H178" s="15" t="str">
        <f>IF(D178="","","B")</f>
        <v/>
      </c>
      <c r="I178" s="35" t="s">
        <v>105</v>
      </c>
      <c r="J178" s="36" t="str">
        <f>IF(I178="","",(VLOOKUP(I178,tbDosen[NAMA DOSEN]:tbDosen[[NAMA DOSEN]:[KODE]],2,)))</f>
        <v>-</v>
      </c>
      <c r="K178" s="35" t="s">
        <v>105</v>
      </c>
      <c r="L178" s="36" t="str">
        <f>IF(K178="","",(VLOOKUP(K178,tbDosen[NAMA DOSEN]:tbDosen[[NAMA DOSEN]:[KODE]],2,)))</f>
        <v>-</v>
      </c>
      <c r="M178" s="37" t="str">
        <f>IF(OR(I178="",I178="None"),"",IF(OR(K178="",K178="None"),I178,I178&amp;" / "&amp;K178))</f>
        <v/>
      </c>
      <c r="N178" s="37" t="str">
        <f t="shared" si="29"/>
        <v/>
      </c>
      <c r="O178" s="38" t="str">
        <f>IF(OR(I178="",I178="None"),"",IF(OR(K178="",K178="None"),G178,G178/2))</f>
        <v/>
      </c>
      <c r="P178" s="64" t="str">
        <f>IF(D178="","",(IF(AND(G178=4,U178&lt;2),"ADA",IF(AND(G178&lt;4,U178=0),"ADA","TIDAK"))))</f>
        <v/>
      </c>
      <c r="Q178" s="111"/>
      <c r="R178" s="111"/>
      <c r="S178" s="111"/>
      <c r="T178" s="111"/>
      <c r="U178" s="161">
        <v>0</v>
      </c>
      <c r="V178" s="164" t="str">
        <f t="shared" si="26"/>
        <v/>
      </c>
      <c r="W178" s="11" t="str">
        <f t="shared" si="27"/>
        <v/>
      </c>
      <c r="X178" s="11"/>
    </row>
    <row r="179" spans="2:25" ht="32.4" customHeight="1" thickBot="1" x14ac:dyDescent="0.35">
      <c r="C179" s="69" t="str">
        <f t="shared" si="28"/>
        <v>-</v>
      </c>
      <c r="D179" s="33" t="str">
        <f>IF(J$170&gt;='TABLE SISTEM'!A$5,'TABLE MK'!A$32,"")</f>
        <v/>
      </c>
      <c r="E179" s="33" t="str">
        <f>IF(D179="","",(VLOOKUP(D179,Table1[Kode MK]:Table1[[#All],[Kode MK]:[Mata Kuliah Prasyarat]],2,)))</f>
        <v/>
      </c>
      <c r="F179" s="34" t="str">
        <f>IF(D179="","",(VLOOKUP(D179,Table1[Kode MK]:Table1[[#All],[Kode MK]:[Mata Kuliah Prasyarat]],3,)))</f>
        <v/>
      </c>
      <c r="G179" s="34" t="str">
        <f>IF(D179="","",(VLOOKUP(D179,Table1[Kode MK]:Table1[[#All],[Kode MK]:[Mata Kuliah Prasyarat]],4,)))</f>
        <v/>
      </c>
      <c r="H179" s="15" t="str">
        <f>IF(D179="","","C")</f>
        <v/>
      </c>
      <c r="I179" s="35" t="s">
        <v>105</v>
      </c>
      <c r="J179" s="36" t="str">
        <f>IF(I179="","",(VLOOKUP(I179,tbDosen[NAMA DOSEN]:tbDosen[[NAMA DOSEN]:[KODE]],2,)))</f>
        <v>-</v>
      </c>
      <c r="K179" s="35" t="s">
        <v>105</v>
      </c>
      <c r="L179" s="36" t="str">
        <f>IF(K179="","",(VLOOKUP(K179,tbDosen[NAMA DOSEN]:tbDosen[[NAMA DOSEN]:[KODE]],2,)))</f>
        <v>-</v>
      </c>
      <c r="M179" s="37" t="str">
        <f>IF(OR(I179="",I179="None"),"",IF(OR(K179="",K179="None"),I179,I179&amp;" / "&amp;K179))</f>
        <v/>
      </c>
      <c r="N179" s="37" t="str">
        <f t="shared" si="29"/>
        <v/>
      </c>
      <c r="O179" s="38" t="str">
        <f>IF(OR(I179="",I179="None"),"",IF(OR(K179="",K179="None"),G179,G179/2))</f>
        <v/>
      </c>
      <c r="P179" s="64" t="str">
        <f>IF(D179="","",(IF(AND(G179=4,U179&lt;2),"ADA",IF(AND(G179&lt;4,U179=0),"ADA","TIDAK"))))</f>
        <v/>
      </c>
      <c r="Q179" s="111"/>
      <c r="R179" s="111"/>
      <c r="S179" s="111"/>
      <c r="T179" s="111"/>
      <c r="U179" s="161">
        <v>0</v>
      </c>
      <c r="V179" s="164" t="str">
        <f t="shared" si="26"/>
        <v/>
      </c>
      <c r="W179" s="11" t="str">
        <f t="shared" si="27"/>
        <v/>
      </c>
      <c r="X179" s="11"/>
    </row>
    <row r="180" spans="2:25" ht="36.6" customHeight="1" thickBot="1" x14ac:dyDescent="0.35">
      <c r="C180" s="69" t="str">
        <f t="shared" si="28"/>
        <v>-</v>
      </c>
      <c r="D180" s="33" t="str">
        <f>IF(J$170&gt;='TABLE SISTEM'!A$6,'TABLE MK'!A$32,"")</f>
        <v/>
      </c>
      <c r="E180" s="33" t="str">
        <f>IF(D180="","",(VLOOKUP(D180,Table1[Kode MK]:Table1[[#All],[Kode MK]:[Mata Kuliah Prasyarat]],2,)))</f>
        <v/>
      </c>
      <c r="F180" s="34" t="str">
        <f>IF(D180="","",(VLOOKUP(D180,Table1[Kode MK]:Table1[[#All],[Kode MK]:[Mata Kuliah Prasyarat]],3,)))</f>
        <v/>
      </c>
      <c r="G180" s="34" t="str">
        <f>IF(D180="","",(VLOOKUP(D180,Table1[Kode MK]:Table1[[#All],[Kode MK]:[Mata Kuliah Prasyarat]],4,)))</f>
        <v/>
      </c>
      <c r="H180" s="15" t="str">
        <f>IF(D180="","","D")</f>
        <v/>
      </c>
      <c r="I180" s="35" t="s">
        <v>105</v>
      </c>
      <c r="J180" s="36" t="str">
        <f>IF(I180="","",(VLOOKUP(I180,tbDosen[NAMA DOSEN]:tbDosen[[NAMA DOSEN]:[KODE]],2,)))</f>
        <v>-</v>
      </c>
      <c r="K180" s="35" t="s">
        <v>105</v>
      </c>
      <c r="L180" s="36" t="str">
        <f>IF(K180="","",(VLOOKUP(K180,tbDosen[NAMA DOSEN]:tbDosen[[NAMA DOSEN]:[KODE]],2,)))</f>
        <v>-</v>
      </c>
      <c r="M180" s="37" t="str">
        <f>IF(OR(I180="",I180="None"),"",IF(OR(K180="",K180="None"),I180,I180&amp;" / "&amp;K180))</f>
        <v/>
      </c>
      <c r="N180" s="37" t="str">
        <f t="shared" si="29"/>
        <v/>
      </c>
      <c r="O180" s="38" t="str">
        <f>IF(OR(I180="",I180="None"),"",IF(OR(K180="",K180="None"),G180,G180/2))</f>
        <v/>
      </c>
      <c r="P180" s="64" t="str">
        <f>IF(D180="","",(IF(AND(G180=4,U180&lt;2),"ADA",IF(AND(G180&lt;4,U180=0),"ADA","TIDAK"))))</f>
        <v/>
      </c>
      <c r="Q180" s="111"/>
      <c r="R180" s="111"/>
      <c r="S180" s="111"/>
      <c r="T180" s="111"/>
      <c r="U180" s="161">
        <v>0</v>
      </c>
      <c r="V180" s="164" t="str">
        <f t="shared" si="26"/>
        <v/>
      </c>
      <c r="W180" s="11" t="str">
        <f t="shared" si="27"/>
        <v/>
      </c>
      <c r="X180" s="11"/>
    </row>
    <row r="181" spans="2:25" ht="39" customHeight="1" thickBot="1" x14ac:dyDescent="0.35">
      <c r="C181" s="69" t="str">
        <f t="shared" si="28"/>
        <v>-</v>
      </c>
      <c r="D181" s="33" t="str">
        <f>IF(J$170&gt;='TABLE SISTEM'!A$7,'TABLE MK'!A$32,"")</f>
        <v/>
      </c>
      <c r="E181" s="33" t="str">
        <f>IF(D181="","",(VLOOKUP(D181,Table1[Kode MK]:Table1[[#All],[Kode MK]:[Mata Kuliah Prasyarat]],2,)))</f>
        <v/>
      </c>
      <c r="F181" s="34" t="str">
        <f>IF(D181="","",(VLOOKUP(D181,Table1[Kode MK]:Table1[[#All],[Kode MK]:[Mata Kuliah Prasyarat]],3,)))</f>
        <v/>
      </c>
      <c r="G181" s="34" t="str">
        <f>IF(D181="","",(VLOOKUP(D181,Table1[Kode MK]:Table1[[#All],[Kode MK]:[Mata Kuliah Prasyarat]],4,)))</f>
        <v/>
      </c>
      <c r="H181" s="34" t="str">
        <f>IF(D181="","","E")</f>
        <v/>
      </c>
      <c r="I181" s="35" t="s">
        <v>105</v>
      </c>
      <c r="J181" s="36" t="str">
        <f>IF(I181="","",(VLOOKUP(I181,tbDosen[NAMA DOSEN]:tbDosen[[NAMA DOSEN]:[KODE]],2,)))</f>
        <v>-</v>
      </c>
      <c r="K181" s="35" t="s">
        <v>105</v>
      </c>
      <c r="L181" s="36" t="str">
        <f>IF(K181="","",(VLOOKUP(K181,tbDosen[NAMA DOSEN]:tbDosen[[NAMA DOSEN]:[KODE]],2,)))</f>
        <v>-</v>
      </c>
      <c r="M181" s="37" t="str">
        <f>IF(OR(I181="",I181="None"),"",IF(OR(K181="",K181="None"),I181,I181&amp;" / "&amp;K181))</f>
        <v/>
      </c>
      <c r="N181" s="37" t="str">
        <f t="shared" si="29"/>
        <v/>
      </c>
      <c r="O181" s="38" t="str">
        <f>IF(OR(I181="",I181="None"),"",IF(OR(K181="",K181="None"),G181,G181/2))</f>
        <v/>
      </c>
      <c r="P181" s="64" t="str">
        <f>IF(D181="","",(IF(AND(G181=4,U181&lt;2),"ADA",IF(AND(G181&lt;4,U181=0),"ADA","TIDAK"))))</f>
        <v/>
      </c>
      <c r="Q181" s="111"/>
      <c r="R181" s="111"/>
      <c r="S181" s="111"/>
      <c r="T181" s="111"/>
      <c r="U181" s="161">
        <v>0</v>
      </c>
      <c r="V181" s="164" t="str">
        <f t="shared" si="26"/>
        <v/>
      </c>
      <c r="W181" s="11" t="str">
        <f t="shared" ref="W181:W182" si="30">IF(P181="ADA",C181,"")</f>
        <v/>
      </c>
      <c r="X181" s="11"/>
    </row>
    <row r="182" spans="2:25" ht="25.8" customHeight="1" thickBot="1" x14ac:dyDescent="0.35">
      <c r="C182" s="109"/>
      <c r="D182" s="14"/>
      <c r="E182" s="14"/>
      <c r="F182" s="15"/>
      <c r="G182" s="15"/>
      <c r="H182" s="15"/>
      <c r="I182" s="110"/>
      <c r="J182" s="17"/>
      <c r="K182" s="110"/>
      <c r="L182" s="17"/>
      <c r="M182" s="16"/>
      <c r="N182" s="16"/>
      <c r="O182" s="18"/>
      <c r="P182" s="111"/>
      <c r="Q182" s="111"/>
      <c r="R182" s="111"/>
      <c r="S182" s="111"/>
      <c r="T182" s="111"/>
      <c r="V182" s="164" t="str">
        <f t="shared" si="26"/>
        <v/>
      </c>
      <c r="W182" s="11" t="str">
        <f t="shared" si="30"/>
        <v/>
      </c>
      <c r="X182" s="11"/>
    </row>
    <row r="183" spans="2:25" ht="25.8" customHeight="1" x14ac:dyDescent="0.3">
      <c r="C183" s="22"/>
    </row>
    <row r="184" spans="2:25" x14ac:dyDescent="0.3">
      <c r="C184" s="22"/>
    </row>
    <row r="185" spans="2:25" x14ac:dyDescent="0.3">
      <c r="C185" s="22"/>
    </row>
    <row r="186" spans="2:25" x14ac:dyDescent="0.3">
      <c r="C186" s="22"/>
    </row>
    <row r="187" spans="2:25" x14ac:dyDescent="0.3">
      <c r="C187" s="22"/>
    </row>
    <row r="188" spans="2:25" x14ac:dyDescent="0.3">
      <c r="C188" s="22"/>
    </row>
    <row r="189" spans="2:25" x14ac:dyDescent="0.3">
      <c r="C189" s="22"/>
    </row>
    <row r="190" spans="2:25" x14ac:dyDescent="0.3">
      <c r="C190" s="22"/>
    </row>
    <row r="191" spans="2:25" x14ac:dyDescent="0.3">
      <c r="C191" s="22"/>
    </row>
    <row r="192" spans="2:25" x14ac:dyDescent="0.3">
      <c r="C192" s="22"/>
    </row>
    <row r="193" spans="3:3" x14ac:dyDescent="0.3">
      <c r="C193" s="22"/>
    </row>
    <row r="194" spans="3:3" x14ac:dyDescent="0.3">
      <c r="C194" s="22"/>
    </row>
    <row r="195" spans="3:3" x14ac:dyDescent="0.3">
      <c r="C195" s="22"/>
    </row>
    <row r="196" spans="3:3" x14ac:dyDescent="0.3">
      <c r="C196" s="22"/>
    </row>
    <row r="197" spans="3:3" x14ac:dyDescent="0.3">
      <c r="C197" s="22"/>
    </row>
    <row r="198" spans="3:3" x14ac:dyDescent="0.3">
      <c r="C198" s="22"/>
    </row>
    <row r="199" spans="3:3" x14ac:dyDescent="0.3">
      <c r="C199" s="22"/>
    </row>
    <row r="200" spans="3:3" x14ac:dyDescent="0.3">
      <c r="C200" s="22"/>
    </row>
    <row r="201" spans="3:3" x14ac:dyDescent="0.3">
      <c r="C201" s="22"/>
    </row>
    <row r="202" spans="3:3" x14ac:dyDescent="0.3">
      <c r="C202" s="22"/>
    </row>
    <row r="203" spans="3:3" x14ac:dyDescent="0.3">
      <c r="C203" s="22"/>
    </row>
    <row r="204" spans="3:3" x14ac:dyDescent="0.3">
      <c r="C204" s="22"/>
    </row>
    <row r="205" spans="3:3" x14ac:dyDescent="0.3">
      <c r="C205" s="22"/>
    </row>
    <row r="206" spans="3:3" x14ac:dyDescent="0.3">
      <c r="C206" s="22"/>
    </row>
    <row r="207" spans="3:3" x14ac:dyDescent="0.3">
      <c r="C207" s="22"/>
    </row>
    <row r="208" spans="3:3" x14ac:dyDescent="0.3">
      <c r="C208" s="22"/>
    </row>
    <row r="209" spans="3:3" x14ac:dyDescent="0.3">
      <c r="C209" s="22"/>
    </row>
    <row r="210" spans="3:3" x14ac:dyDescent="0.3">
      <c r="C210" s="22"/>
    </row>
    <row r="211" spans="3:3" x14ac:dyDescent="0.3">
      <c r="C211" s="22"/>
    </row>
    <row r="212" spans="3:3" x14ac:dyDescent="0.3">
      <c r="C212" s="22"/>
    </row>
    <row r="213" spans="3:3" x14ac:dyDescent="0.3">
      <c r="C213" s="22"/>
    </row>
    <row r="214" spans="3:3" x14ac:dyDescent="0.3">
      <c r="C214" s="22"/>
    </row>
    <row r="215" spans="3:3" x14ac:dyDescent="0.3">
      <c r="C215" s="22"/>
    </row>
    <row r="216" spans="3:3" x14ac:dyDescent="0.3">
      <c r="C216" s="22"/>
    </row>
    <row r="217" spans="3:3" x14ac:dyDescent="0.3">
      <c r="C217" s="22"/>
    </row>
    <row r="218" spans="3:3" x14ac:dyDescent="0.3">
      <c r="C218" s="22"/>
    </row>
    <row r="219" spans="3:3" x14ac:dyDescent="0.3">
      <c r="C219" s="22"/>
    </row>
    <row r="220" spans="3:3" x14ac:dyDescent="0.3">
      <c r="C220" s="22"/>
    </row>
    <row r="221" spans="3:3" x14ac:dyDescent="0.3">
      <c r="C221" s="22"/>
    </row>
    <row r="222" spans="3:3" x14ac:dyDescent="0.3">
      <c r="C222" s="22"/>
    </row>
    <row r="223" spans="3:3" x14ac:dyDescent="0.3">
      <c r="C223" s="22"/>
    </row>
    <row r="224" spans="3:3" x14ac:dyDescent="0.3">
      <c r="C224" s="22"/>
    </row>
    <row r="225" spans="3:3" x14ac:dyDescent="0.3">
      <c r="C225" s="22"/>
    </row>
    <row r="226" spans="3:3" x14ac:dyDescent="0.3">
      <c r="C226" s="22"/>
    </row>
    <row r="227" spans="3:3" x14ac:dyDescent="0.3">
      <c r="C227" s="22"/>
    </row>
  </sheetData>
  <mergeCells count="31">
    <mergeCell ref="Q7:R7"/>
    <mergeCell ref="S7:T7"/>
    <mergeCell ref="E8:H8"/>
    <mergeCell ref="E14:H14"/>
    <mergeCell ref="E20:H20"/>
    <mergeCell ref="E110:H110"/>
    <mergeCell ref="E116:H116"/>
    <mergeCell ref="E122:H122"/>
    <mergeCell ref="E92:H92"/>
    <mergeCell ref="E98:H98"/>
    <mergeCell ref="E104:H104"/>
    <mergeCell ref="E26:H26"/>
    <mergeCell ref="E32:H32"/>
    <mergeCell ref="E74:H74"/>
    <mergeCell ref="E80:H80"/>
    <mergeCell ref="E86:H86"/>
    <mergeCell ref="E56:H56"/>
    <mergeCell ref="E62:H62"/>
    <mergeCell ref="E68:H68"/>
    <mergeCell ref="E38:H38"/>
    <mergeCell ref="E44:H44"/>
    <mergeCell ref="E50:H50"/>
    <mergeCell ref="E176:H176"/>
    <mergeCell ref="E146:H146"/>
    <mergeCell ref="E152:H152"/>
    <mergeCell ref="E158:H158"/>
    <mergeCell ref="E128:H128"/>
    <mergeCell ref="E134:H134"/>
    <mergeCell ref="E140:H140"/>
    <mergeCell ref="E170:H170"/>
    <mergeCell ref="E164:H164"/>
  </mergeCells>
  <conditionalFormatting sqref="P146:T163 P165:T169 P9:P145">
    <cfRule type="cellIs" dxfId="41" priority="22" operator="equal">
      <formula>"ada"</formula>
    </cfRule>
    <cfRule type="containsText" dxfId="40" priority="23" operator="containsText" text="Tidak">
      <formula>NOT(ISERROR(SEARCH("Tidak",P9)))</formula>
    </cfRule>
  </conditionalFormatting>
  <conditionalFormatting sqref="P171:T176">
    <cfRule type="cellIs" dxfId="39" priority="13" operator="equal">
      <formula>"ada"</formula>
    </cfRule>
    <cfRule type="containsText" dxfId="38" priority="14" operator="containsText" text="Tidak">
      <formula>NOT(ISERROR(SEARCH("Tidak",P171)))</formula>
    </cfRule>
  </conditionalFormatting>
  <conditionalFormatting sqref="P170:T170">
    <cfRule type="cellIs" dxfId="37" priority="15" operator="equal">
      <formula>"ada"</formula>
    </cfRule>
    <cfRule type="containsText" dxfId="36" priority="16" operator="containsText" text="Tidak">
      <formula>NOT(ISERROR(SEARCH("Tidak",P170)))</formula>
    </cfRule>
  </conditionalFormatting>
  <conditionalFormatting sqref="P164:T164">
    <cfRule type="cellIs" dxfId="35" priority="11" operator="equal">
      <formula>"ada"</formula>
    </cfRule>
    <cfRule type="containsText" dxfId="34" priority="12" operator="containsText" text="Tidak">
      <formula>NOT(ISERROR(SEARCH("Tidak",P164)))</formula>
    </cfRule>
  </conditionalFormatting>
  <conditionalFormatting sqref="P177:T182">
    <cfRule type="cellIs" dxfId="33" priority="7" operator="equal">
      <formula>"ada"</formula>
    </cfRule>
    <cfRule type="containsText" dxfId="32" priority="8" operator="containsText" text="Tidak">
      <formula>NOT(ISERROR(SEARCH("Tidak",P177)))</formula>
    </cfRule>
  </conditionalFormatting>
  <conditionalFormatting sqref="P176:T176">
    <cfRule type="cellIs" dxfId="31" priority="9" operator="equal">
      <formula>"ada"</formula>
    </cfRule>
    <cfRule type="containsText" dxfId="30" priority="10" operator="containsText" text="Tidak">
      <formula>NOT(ISERROR(SEARCH("Tidak",P176)))</formula>
    </cfRule>
  </conditionalFormatting>
  <conditionalFormatting sqref="U9:V9 U10:U181 V10:V182">
    <cfRule type="cellIs" dxfId="29" priority="6" operator="equal">
      <formula>2</formula>
    </cfRule>
  </conditionalFormatting>
  <conditionalFormatting sqref="V9:V182">
    <cfRule type="containsText" dxfId="28" priority="3" operator="containsText" text="LEBIH">
      <formula>NOT(ISERROR(SEARCH("LEBIH",V9)))</formula>
    </cfRule>
    <cfRule type="containsText" dxfId="27" priority="4" operator="containsText" text="KURANG">
      <formula>NOT(ISERROR(SEARCH("KURANG",V9)))</formula>
    </cfRule>
    <cfRule type="containsText" dxfId="26" priority="5" operator="containsText" text="PAS">
      <formula>NOT(ISERROR(SEARCH("PAS",V9)))</formula>
    </cfRule>
  </conditionalFormatting>
  <conditionalFormatting sqref="Q9:T145">
    <cfRule type="cellIs" dxfId="25" priority="1" operator="equal">
      <formula>"ada"</formula>
    </cfRule>
    <cfRule type="containsText" dxfId="24" priority="2" operator="containsText" text="Tidak">
      <formula>NOT(ISERROR(SEARCH("Tidak",Q9)))</formula>
    </cfRule>
  </conditionalFormatting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2F3502B-1D7B-42F2-BCF3-14339903C7E2}">
          <x14:formula1>
            <xm:f>'TABLE SISTEM'!$A$2:$A$7</xm:f>
          </x14:formula1>
          <xm:sqref>J8 J14 J20 J164 J32 J38 J26 J44 J50 J56 J62 J68 J74 J80 J86 J92 J98 J104 J110 J116 J122 J128 J134 J140 J146 J152 J158 J170 J176</xm:sqref>
        </x14:dataValidation>
        <x14:dataValidation type="list" allowBlank="1" showInputMessage="1" showErrorMessage="1" xr:uid="{4A8F67C6-8FFF-496B-B724-C9839EECF343}">
          <x14:formula1>
            <xm:f>'TABLE DOSEN'!$B$2:$B$24</xm:f>
          </x14:formula1>
          <xm:sqref>I51:I55 K105:K109 I111:I115 I117:I121 K177:K182 I123:I127 K103 I129:I133 K93:K97 K83:K85 K115 K91 I81:I85 I105:I109 I87:I91 I63:I67 I45:I49 K141:K145 I39:I43 K153:K157 K129:K133 I153:I157 I57:I61 K138:K139 I93:I97 K171:K175 K159:K163 I159:I163 K118:K121 K165:K169 I165:I169 I171:I175 I177:I182 K111 K113 I69:I73 I33:I37 K127 I99:I103 I147:I151 I135:I139 I141:I145 K147:K151 I75:I79 K88 K81 K75 K77:K79</xm:sqref>
        </x14:dataValidation>
        <x14:dataValidation type="list" allowBlank="1" showInputMessage="1" showErrorMessage="1" xr:uid="{B2EBD7EB-8BF6-4955-9091-F1BADFC2FD13}">
          <x14:formula1>
            <xm:f>'TABLE DOSEN'!$B$2:$B$28</xm:f>
          </x14:formula1>
          <xm:sqref>I9:I13 K123:K126 I27:I31 K69:K73 K87 K57:K61 K63:K67 K45:K49 K39:K43 K89:K90 K27:K31 K117 K21:K25 K15:K19 I15:I19 K9:K13 K99:K102 K51:K55 K112 I21:I25 K114 K33:K37 K135:K137 K82 K76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9985-E843-4CA8-816D-08B7D1AB7E13}">
  <sheetPr>
    <tabColor rgb="FF0070C0"/>
  </sheetPr>
  <dimension ref="A2:L122"/>
  <sheetViews>
    <sheetView zoomScale="55" zoomScaleNormal="55" workbookViewId="0">
      <selection activeCell="F94" sqref="F94"/>
    </sheetView>
  </sheetViews>
  <sheetFormatPr defaultRowHeight="14.4" x14ac:dyDescent="0.3"/>
  <cols>
    <col min="1" max="1" width="10.21875" style="157" customWidth="1"/>
    <col min="2" max="2" width="6.77734375" style="1" bestFit="1" customWidth="1"/>
    <col min="3" max="3" width="6.21875" style="1" customWidth="1"/>
    <col min="4" max="4" width="6.77734375" style="1" bestFit="1" customWidth="1"/>
    <col min="5" max="5" width="23.77734375" style="128" bestFit="1" customWidth="1"/>
    <col min="6" max="6" width="43.109375" style="127" bestFit="1" customWidth="1"/>
    <col min="7" max="7" width="10.6640625" style="1" bestFit="1" customWidth="1"/>
    <col min="8" max="8" width="13" style="1" customWidth="1"/>
    <col min="9" max="10" width="7.33203125" style="1" bestFit="1" customWidth="1"/>
    <col min="11" max="11" width="42.77734375" style="1" bestFit="1" customWidth="1"/>
    <col min="12" max="12" width="11" style="1" bestFit="1" customWidth="1"/>
    <col min="13" max="13" width="14.109375" style="1" customWidth="1"/>
    <col min="14" max="16384" width="8.88671875" style="1"/>
  </cols>
  <sheetData>
    <row r="2" spans="1:12" ht="31.8" x14ac:dyDescent="0.5">
      <c r="A2" s="264" t="str">
        <f>("JADWAL KULIAH SEMESTER GASAL TA "&amp; 'SELECT KELAS GASAL'!$I$3)</f>
        <v>JADWAL KULIAH SEMESTER GASAL TA 2022 - 2023</v>
      </c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</row>
    <row r="3" spans="1:12" ht="31.8" x14ac:dyDescent="0.5">
      <c r="A3" s="264" t="s">
        <v>419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</row>
    <row r="5" spans="1:12" s="126" customFormat="1" ht="34.950000000000003" customHeight="1" x14ac:dyDescent="0.3">
      <c r="A5" s="129" t="s">
        <v>418</v>
      </c>
      <c r="B5" s="276" t="s">
        <v>417</v>
      </c>
      <c r="C5" s="277"/>
      <c r="D5" s="276"/>
      <c r="E5" s="129" t="s">
        <v>416</v>
      </c>
      <c r="F5" s="129" t="s">
        <v>147</v>
      </c>
      <c r="G5" s="129" t="s">
        <v>94</v>
      </c>
      <c r="H5" s="129" t="s">
        <v>415</v>
      </c>
      <c r="I5" s="129" t="s">
        <v>83</v>
      </c>
      <c r="J5" s="129" t="s">
        <v>414</v>
      </c>
      <c r="K5" s="129" t="s">
        <v>163</v>
      </c>
      <c r="L5" s="129" t="s">
        <v>165</v>
      </c>
    </row>
    <row r="6" spans="1:12" s="126" customFormat="1" ht="34.950000000000003" customHeight="1" x14ac:dyDescent="0.3">
      <c r="A6" s="278" t="s">
        <v>325</v>
      </c>
      <c r="B6" s="133">
        <f>IF('PROGRAM JADWAL GASAL'!C7="","",'PROGRAM JADWAL GASAL'!C7)</f>
        <v>0.3125</v>
      </c>
      <c r="C6" s="134" t="str">
        <f>IF('PROGRAM JADWAL GASAL'!D7="","",'PROGRAM JADWAL GASAL'!D7)</f>
        <v>s/d</v>
      </c>
      <c r="D6" s="135">
        <f>IF('PROGRAM JADWAL GASAL'!E7="","",'PROGRAM JADWAL GASAL'!E7)</f>
        <v>0.41666666666666669</v>
      </c>
      <c r="E6" s="136" t="str">
        <f>IF('PROGRAM JADWAL GASAL'!H7="","",'PROGRAM JADWAL GASAL'!H7)</f>
        <v>INF-55201-101</v>
      </c>
      <c r="F6" s="137" t="str">
        <f>IF('PROGRAM JADWAL GASAL'!I7="","",'PROGRAM JADWAL GASAL'!I7)</f>
        <v>Matematika  Dasar I</v>
      </c>
      <c r="G6" s="138" t="str">
        <f>IF('PROGRAM JADWAL GASAL'!M7="","",'PROGRAM JADWAL GASAL'!M7)</f>
        <v>A</v>
      </c>
      <c r="H6" s="139">
        <f>IF('PROGRAM JADWAL GASAL'!N7="","",'PROGRAM JADWAL GASAL'!N7)</f>
        <v>1</v>
      </c>
      <c r="I6" s="139">
        <f>IF('PROGRAM JADWAL GASAL'!O7="","",'PROGRAM JADWAL GASAL'!O7)</f>
        <v>3</v>
      </c>
      <c r="J6" s="139">
        <f>IF('PROGRAM JADWAL GASAL'!P7="","",'PROGRAM JADWAL GASAL'!P7)</f>
        <v>25</v>
      </c>
      <c r="K6" s="136" t="str">
        <f>IF('PROGRAM JADWAL GASAL'!Q7="","",'PROGRAM JADWAL GASAL'!Q7)</f>
        <v>Anggi Srimurdianti, S.T., M.T. / Niken Candraningrum, S.T., M.Cs.</v>
      </c>
      <c r="L6" s="138" t="str">
        <f>IF('PROGRAM JADWAL GASAL'!R7="","",'PROGRAM JADWAL GASAL'!R7)</f>
        <v>ONLINE</v>
      </c>
    </row>
    <row r="7" spans="1:12" s="126" customFormat="1" ht="34.950000000000003" customHeight="1" x14ac:dyDescent="0.3">
      <c r="A7" s="278"/>
      <c r="B7" s="133">
        <f>IF('PROGRAM JADWAL GASAL'!C8="","",'PROGRAM JADWAL GASAL'!C8)</f>
        <v>0.3125</v>
      </c>
      <c r="C7" s="140" t="str">
        <f>IF('PROGRAM JADWAL GASAL'!D8="","",'PROGRAM JADWAL GASAL'!D8)</f>
        <v>s/d</v>
      </c>
      <c r="D7" s="135">
        <f>IF('PROGRAM JADWAL GASAL'!E8="","",'PROGRAM JADWAL GASAL'!E8)</f>
        <v>0.41666666666666669</v>
      </c>
      <c r="E7" s="136" t="str">
        <f>IF('PROGRAM JADWAL GASAL'!H8="","",'PROGRAM JADWAL GASAL'!H8)</f>
        <v>INF-55201-101</v>
      </c>
      <c r="F7" s="137" t="str">
        <f>IF('PROGRAM JADWAL GASAL'!I8="","",'PROGRAM JADWAL GASAL'!I8)</f>
        <v>Matematika  Dasar I</v>
      </c>
      <c r="G7" s="138" t="str">
        <f>IF('PROGRAM JADWAL GASAL'!M8="","",'PROGRAM JADWAL GASAL'!M8)</f>
        <v>B</v>
      </c>
      <c r="H7" s="139">
        <f>IF('PROGRAM JADWAL GASAL'!N8="","",'PROGRAM JADWAL GASAL'!N8)</f>
        <v>1</v>
      </c>
      <c r="I7" s="139">
        <f>IF('PROGRAM JADWAL GASAL'!O8="","",'PROGRAM JADWAL GASAL'!O8)</f>
        <v>3</v>
      </c>
      <c r="J7" s="139">
        <f>IF('PROGRAM JADWAL GASAL'!P8="","",'PROGRAM JADWAL GASAL'!P8)</f>
        <v>25</v>
      </c>
      <c r="K7" s="136" t="str">
        <f>IF('PROGRAM JADWAL GASAL'!Q8="","",'PROGRAM JADWAL GASAL'!Q8)</f>
        <v>Rina Septiriana, S.T., M.Cs.</v>
      </c>
      <c r="L7" s="138" t="str">
        <f>IF('PROGRAM JADWAL GASAL'!R8="","",'PROGRAM JADWAL GASAL'!R8)</f>
        <v>ONLINE</v>
      </c>
    </row>
    <row r="8" spans="1:12" s="126" customFormat="1" ht="34.950000000000003" customHeight="1" x14ac:dyDescent="0.3">
      <c r="A8" s="278"/>
      <c r="B8" s="133">
        <f>IF('PROGRAM JADWAL GASAL'!C9="","",'PROGRAM JADWAL GASAL'!C9)</f>
        <v>0.3125</v>
      </c>
      <c r="C8" s="140" t="str">
        <f>IF('PROGRAM JADWAL GASAL'!D9="","",'PROGRAM JADWAL GASAL'!D9)</f>
        <v>s/d</v>
      </c>
      <c r="D8" s="135">
        <f>IF('PROGRAM JADWAL GASAL'!E9="","",'PROGRAM JADWAL GASAL'!E9)</f>
        <v>0.41666666666666669</v>
      </c>
      <c r="E8" s="136" t="str">
        <f>IF('PROGRAM JADWAL GASAL'!H9="","",'PROGRAM JADWAL GASAL'!H9)</f>
        <v>INF-55201-207</v>
      </c>
      <c r="F8" s="137" t="str">
        <f>IF('PROGRAM JADWAL GASAL'!I9="","",'PROGRAM JADWAL GASAL'!I9)</f>
        <v>Sistem Operasi*</v>
      </c>
      <c r="G8" s="138" t="str">
        <f>IF('PROGRAM JADWAL GASAL'!M9="","",'PROGRAM JADWAL GASAL'!M9)</f>
        <v>A</v>
      </c>
      <c r="H8" s="139">
        <f>IF('PROGRAM JADWAL GASAL'!N9="","",'PROGRAM JADWAL GASAL'!N9)</f>
        <v>3</v>
      </c>
      <c r="I8" s="139">
        <f>IF('PROGRAM JADWAL GASAL'!O9="","",'PROGRAM JADWAL GASAL'!O9)</f>
        <v>3</v>
      </c>
      <c r="J8" s="139">
        <f>IF('PROGRAM JADWAL GASAL'!P9="","",'PROGRAM JADWAL GASAL'!P9)</f>
        <v>20</v>
      </c>
      <c r="K8" s="136" t="str">
        <f>IF('PROGRAM JADWAL GASAL'!Q9="","",'PROGRAM JADWAL GASAL'!Q9)</f>
        <v>Helfi Nasution, S.Kom, M.Cs</v>
      </c>
      <c r="L8" s="138" t="str">
        <f>IF('PROGRAM JADWAL GASAL'!R9="","",'PROGRAM JADWAL GASAL'!R9)</f>
        <v>ONLINE</v>
      </c>
    </row>
    <row r="9" spans="1:12" s="126" customFormat="1" ht="34.950000000000003" customHeight="1" x14ac:dyDescent="0.3">
      <c r="A9" s="278"/>
      <c r="B9" s="133">
        <f>IF('PROGRAM JADWAL GASAL'!C10="","",'PROGRAM JADWAL GASAL'!C10)</f>
        <v>0.3125</v>
      </c>
      <c r="C9" s="134" t="str">
        <f>IF('PROGRAM JADWAL GASAL'!D10="","",'PROGRAM JADWAL GASAL'!D10)</f>
        <v>s/d</v>
      </c>
      <c r="D9" s="135">
        <f>IF('PROGRAM JADWAL GASAL'!E10="","",'PROGRAM JADWAL GASAL'!E10)</f>
        <v>0.41666666666666669</v>
      </c>
      <c r="E9" s="136" t="str">
        <f>IF('PROGRAM JADWAL GASAL'!H10="","",'PROGRAM JADWAL GASAL'!H10)</f>
        <v>INF-55201-303</v>
      </c>
      <c r="F9" s="137" t="str">
        <f>IF('PROGRAM JADWAL GASAL'!I10="","",'PROGRAM JADWAL GASAL'!I10)</f>
        <v>Pemrograman Jaringan *</v>
      </c>
      <c r="G9" s="138" t="str">
        <f>IF('PROGRAM JADWAL GASAL'!M10="","",'PROGRAM JADWAL GASAL'!M10)</f>
        <v>C</v>
      </c>
      <c r="H9" s="139">
        <f>IF('PROGRAM JADWAL GASAL'!N10="","",'PROGRAM JADWAL GASAL'!N10)</f>
        <v>5</v>
      </c>
      <c r="I9" s="139">
        <f>IF('PROGRAM JADWAL GASAL'!O10="","",'PROGRAM JADWAL GASAL'!O10)</f>
        <v>3</v>
      </c>
      <c r="J9" s="139">
        <f>IF('PROGRAM JADWAL GASAL'!P10="","",'PROGRAM JADWAL GASAL'!P10)</f>
        <v>25</v>
      </c>
      <c r="K9" s="136" t="str">
        <f>IF('PROGRAM JADWAL GASAL'!Q10="","",'PROGRAM JADWAL GASAL'!Q10)</f>
        <v>Heri Priyanto,S.T., M.T.</v>
      </c>
      <c r="L9" s="138" t="str">
        <f>IF('PROGRAM JADWAL GASAL'!R10="","",'PROGRAM JADWAL GASAL'!R10)</f>
        <v>ONLINE</v>
      </c>
    </row>
    <row r="10" spans="1:12" s="126" customFormat="1" ht="34.799999999999997" customHeight="1" x14ac:dyDescent="0.3">
      <c r="A10" s="278"/>
      <c r="B10" s="133">
        <f>IF('PROGRAM JADWAL GASAL'!C11="","",'PROGRAM JADWAL GASAL'!C11)</f>
        <v>0.3125</v>
      </c>
      <c r="C10" s="140" t="str">
        <f>IF('PROGRAM JADWAL GASAL'!D11="","",'PROGRAM JADWAL GASAL'!D11)</f>
        <v>s/d</v>
      </c>
      <c r="D10" s="135">
        <f>IF('PROGRAM JADWAL GASAL'!E11="","",'PROGRAM JADWAL GASAL'!E11)</f>
        <v>0.41666666666666669</v>
      </c>
      <c r="E10" s="136" t="str">
        <f>IF('PROGRAM JADWAL GASAL'!H11="","",'PROGRAM JADWAL GASAL'!H11)</f>
        <v>INF­55201­531</v>
      </c>
      <c r="F10" s="137" t="str">
        <f>IF('PROGRAM JADWAL GASAL'!I11="","",'PROGRAM JADWAL GASAL'!I11)</f>
        <v xml:space="preserve">Forensik  Digital  </v>
      </c>
      <c r="G10" s="138" t="str">
        <f>IF('PROGRAM JADWAL GASAL'!M11="","",'PROGRAM JADWAL GASAL'!M11)</f>
        <v>A</v>
      </c>
      <c r="H10" s="139">
        <f>IF('PROGRAM JADWAL GASAL'!N11="","",'PROGRAM JADWAL GASAL'!N11)</f>
        <v>7</v>
      </c>
      <c r="I10" s="139">
        <f>IF('PROGRAM JADWAL GASAL'!O11="","",'PROGRAM JADWAL GASAL'!O11)</f>
        <v>3</v>
      </c>
      <c r="J10" s="139">
        <f>IF('PROGRAM JADWAL GASAL'!P11="","",'PROGRAM JADWAL GASAL'!P11)</f>
        <v>20</v>
      </c>
      <c r="K10" s="136" t="str">
        <f>IF('PROGRAM JADWAL GASAL'!Q11="","",'PROGRAM JADWAL GASAL'!Q11)</f>
        <v>Novi Safriadi, S.T., M.T.</v>
      </c>
      <c r="L10" s="138" t="str">
        <f>IF('PROGRAM JADWAL GASAL'!R11="","",'PROGRAM JADWAL GASAL'!R11)</f>
        <v>ONLINE</v>
      </c>
    </row>
    <row r="11" spans="1:12" s="126" customFormat="1" ht="34.950000000000003" customHeight="1" x14ac:dyDescent="0.3">
      <c r="A11" s="278"/>
      <c r="B11" s="133">
        <f>IF('PROGRAM JADWAL GASAL'!C12="","",'PROGRAM JADWAL GASAL'!C12)</f>
        <v>0.3125</v>
      </c>
      <c r="C11" s="140" t="str">
        <f>IF('PROGRAM JADWAL GASAL'!D12="","",'PROGRAM JADWAL GASAL'!D12)</f>
        <v>s/d</v>
      </c>
      <c r="D11" s="135">
        <f>IF('PROGRAM JADWAL GASAL'!E12="","",'PROGRAM JADWAL GASAL'!E12)</f>
        <v>0.41666666666666669</v>
      </c>
      <c r="E11" s="136" t="str">
        <f>IF('PROGRAM JADWAL GASAL'!H12="","",'PROGRAM JADWAL GASAL'!H12)</f>
        <v>INF­55201­533</v>
      </c>
      <c r="F11" s="137" t="str">
        <f>IF('PROGRAM JADWAL GASAL'!I12="","",'PROGRAM JADWAL GASAL'!I12)</f>
        <v>Sistem  Informasi  Geografis II</v>
      </c>
      <c r="G11" s="138" t="str">
        <f>IF('PROGRAM JADWAL GASAL'!M12="","",'PROGRAM JADWAL GASAL'!M12)</f>
        <v>B</v>
      </c>
      <c r="H11" s="139">
        <f>IF('PROGRAM JADWAL GASAL'!N12="","",'PROGRAM JADWAL GASAL'!N12)</f>
        <v>7</v>
      </c>
      <c r="I11" s="139">
        <f>IF('PROGRAM JADWAL GASAL'!O12="","",'PROGRAM JADWAL GASAL'!O12)</f>
        <v>3</v>
      </c>
      <c r="J11" s="139">
        <f>IF('PROGRAM JADWAL GASAL'!P12="","",'PROGRAM JADWAL GASAL'!P12)</f>
        <v>20</v>
      </c>
      <c r="K11" s="136" t="str">
        <f>IF('PROGRAM JADWAL GASAL'!Q12="","",'PROGRAM JADWAL GASAL'!Q12)</f>
        <v>Dr. Yus Sholva, S.T., M.T. / M.Azhar Irwansyah, S.T.,M.Eng.</v>
      </c>
      <c r="L11" s="138" t="str">
        <f>IF('PROGRAM JADWAL GASAL'!R12="","",'PROGRAM JADWAL GASAL'!R12)</f>
        <v>ONLINE</v>
      </c>
    </row>
    <row r="12" spans="1:12" s="126" customFormat="1" ht="34.950000000000003" customHeight="1" x14ac:dyDescent="0.3">
      <c r="A12" s="278"/>
      <c r="B12" s="133" t="str">
        <f>IF('PROGRAM JADWAL GASAL'!C13="","",'PROGRAM JADWAL GASAL'!C13)</f>
        <v/>
      </c>
      <c r="C12" s="140" t="str">
        <f>IF('PROGRAM JADWAL GASAL'!D13="","",'PROGRAM JADWAL GASAL'!D13)</f>
        <v/>
      </c>
      <c r="D12" s="135" t="str">
        <f>IF('PROGRAM JADWAL GASAL'!E13="","",'PROGRAM JADWAL GASAL'!E13)</f>
        <v/>
      </c>
      <c r="E12" s="136" t="str">
        <f>IF('PROGRAM JADWAL GASAL'!H13="","",'PROGRAM JADWAL GASAL'!H13)</f>
        <v/>
      </c>
      <c r="F12" s="137" t="str">
        <f>IF('PROGRAM JADWAL GASAL'!I13="","",'PROGRAM JADWAL GASAL'!I13)</f>
        <v/>
      </c>
      <c r="G12" s="138" t="str">
        <f>IF('PROGRAM JADWAL GASAL'!M13="","",'PROGRAM JADWAL GASAL'!M13)</f>
        <v/>
      </c>
      <c r="H12" s="139" t="str">
        <f>IF('PROGRAM JADWAL GASAL'!N13="","",'PROGRAM JADWAL GASAL'!N13)</f>
        <v/>
      </c>
      <c r="I12" s="139" t="str">
        <f>IF('PROGRAM JADWAL GASAL'!O13="","",'PROGRAM JADWAL GASAL'!O13)</f>
        <v/>
      </c>
      <c r="J12" s="139" t="str">
        <f>IF('PROGRAM JADWAL GASAL'!P13="","",'PROGRAM JADWAL GASAL'!P13)</f>
        <v/>
      </c>
      <c r="K12" s="136" t="str">
        <f>IF('PROGRAM JADWAL GASAL'!Q13="","",'PROGRAM JADWAL GASAL'!Q13)</f>
        <v/>
      </c>
      <c r="L12" s="138" t="str">
        <f>IF('PROGRAM JADWAL GASAL'!R13="","",'PROGRAM JADWAL GASAL'!R13)</f>
        <v/>
      </c>
    </row>
    <row r="13" spans="1:12" s="126" customFormat="1" ht="34.950000000000003" customHeight="1" x14ac:dyDescent="0.3">
      <c r="A13" s="278"/>
      <c r="B13" s="141">
        <f>IF('PROGRAM JADWAL GASAL'!C14="","",'PROGRAM JADWAL GASAL'!C14)</f>
        <v>0.4236111111111111</v>
      </c>
      <c r="C13" s="134" t="str">
        <f>IF('PROGRAM JADWAL GASAL'!D14="","",'PROGRAM JADWAL GASAL'!D14)</f>
        <v>s/d</v>
      </c>
      <c r="D13" s="142">
        <f>IF('PROGRAM JADWAL GASAL'!E14="","",'PROGRAM JADWAL GASAL'!E14)</f>
        <v>0.49305555555555558</v>
      </c>
      <c r="E13" s="136" t="str">
        <f>IF('PROGRAM JADWAL GASAL'!H14="","",'PROGRAM JADWAL GASAL'!H14)</f>
        <v>INF-55201-301</v>
      </c>
      <c r="F13" s="137" t="str">
        <f>IF('PROGRAM JADWAL GASAL'!I14="","",'PROGRAM JADWAL GASAL'!I14)</f>
        <v>Interaksi  Manusia  dan  Komputer  </v>
      </c>
      <c r="G13" s="138" t="str">
        <f>IF('PROGRAM JADWAL GASAL'!M14="","",'PROGRAM JADWAL GASAL'!M14)</f>
        <v>A</v>
      </c>
      <c r="H13" s="139">
        <f>IF('PROGRAM JADWAL GASAL'!N14="","",'PROGRAM JADWAL GASAL'!N14)</f>
        <v>5</v>
      </c>
      <c r="I13" s="139">
        <f>IF('PROGRAM JADWAL GASAL'!O14="","",'PROGRAM JADWAL GASAL'!O14)</f>
        <v>2</v>
      </c>
      <c r="J13" s="139">
        <f>IF('PROGRAM JADWAL GASAL'!P14="","",'PROGRAM JADWAL GASAL'!P14)</f>
        <v>25</v>
      </c>
      <c r="K13" s="136" t="str">
        <f>IF('PROGRAM JADWAL GASAL'!Q14="","",'PROGRAM JADWAL GASAL'!Q14)</f>
        <v>Anggi Perwitasari, S.T., M.T.</v>
      </c>
      <c r="L13" s="138" t="str">
        <f>IF('PROGRAM JADWAL GASAL'!R14="","",'PROGRAM JADWAL GASAL'!R14)</f>
        <v>ONLINE</v>
      </c>
    </row>
    <row r="14" spans="1:12" s="126" customFormat="1" ht="34.950000000000003" customHeight="1" x14ac:dyDescent="0.3">
      <c r="A14" s="278"/>
      <c r="B14" s="133">
        <f>IF('PROGRAM JADWAL GASAL'!C15="","",'PROGRAM JADWAL GASAL'!C15)</f>
        <v>0.4236111111111111</v>
      </c>
      <c r="C14" s="140" t="str">
        <f>IF('PROGRAM JADWAL GASAL'!D15="","",'PROGRAM JADWAL GASAL'!D15)</f>
        <v>s/d</v>
      </c>
      <c r="D14" s="135">
        <f>IF('PROGRAM JADWAL GASAL'!E15="","",'PROGRAM JADWAL GASAL'!E15)</f>
        <v>0.49305555555555558</v>
      </c>
      <c r="E14" s="136" t="str">
        <f>IF('PROGRAM JADWAL GASAL'!H15="","",'PROGRAM JADWAL GASAL'!H15)</f>
        <v>INF-55201-202</v>
      </c>
      <c r="F14" s="137" t="str">
        <f>IF('PROGRAM JADWAL GASAL'!I15="","",'PROGRAM JADWAL GASAL'!I15)</f>
        <v>Teori  Graf  </v>
      </c>
      <c r="G14" s="138" t="str">
        <f>IF('PROGRAM JADWAL GASAL'!M15="","",'PROGRAM JADWAL GASAL'!M15)</f>
        <v>B</v>
      </c>
      <c r="H14" s="139">
        <f>IF('PROGRAM JADWAL GASAL'!N15="","",'PROGRAM JADWAL GASAL'!N15)</f>
        <v>3</v>
      </c>
      <c r="I14" s="139">
        <f>IF('PROGRAM JADWAL GASAL'!O15="","",'PROGRAM JADWAL GASAL'!O15)</f>
        <v>2</v>
      </c>
      <c r="J14" s="139">
        <f>IF('PROGRAM JADWAL GASAL'!P15="","",'PROGRAM JADWAL GASAL'!P15)</f>
        <v>25</v>
      </c>
      <c r="K14" s="136" t="str">
        <f>IF('PROGRAM JADWAL GASAL'!Q15="","",'PROGRAM JADWAL GASAL'!Q15)</f>
        <v>Haried Novriando, S.Kom, M.Eng / Khairul Hafidh, S.T., M.Kom.</v>
      </c>
      <c r="L14" s="138" t="str">
        <f>IF('PROGRAM JADWAL GASAL'!R15="","",'PROGRAM JADWAL GASAL'!R15)</f>
        <v>ONLINE</v>
      </c>
    </row>
    <row r="15" spans="1:12" s="126" customFormat="1" ht="34.950000000000003" customHeight="1" x14ac:dyDescent="0.3">
      <c r="A15" s="278"/>
      <c r="B15" s="141">
        <f>IF('PROGRAM JADWAL GASAL'!C16="","",'PROGRAM JADWAL GASAL'!C16)</f>
        <v>0.4236111111111111</v>
      </c>
      <c r="C15" s="134" t="str">
        <f>IF('PROGRAM JADWAL GASAL'!D16="","",'PROGRAM JADWAL GASAL'!D16)</f>
        <v>s/d</v>
      </c>
      <c r="D15" s="142">
        <f>IF('PROGRAM JADWAL GASAL'!E16="","",'PROGRAM JADWAL GASAL'!E16)</f>
        <v>0.49305555555555558</v>
      </c>
      <c r="E15" s="136" t="str">
        <f>IF('PROGRAM JADWAL GASAL'!H16="","",'PROGRAM JADWAL GASAL'!H16)</f>
        <v>INF-55201-103</v>
      </c>
      <c r="F15" s="137" t="str">
        <f>IF('PROGRAM JADWAL GASAL'!I16="","",'PROGRAM JADWAL GASAL'!I16)</f>
        <v>Dasar  Pemrograman*</v>
      </c>
      <c r="G15" s="138" t="str">
        <f>IF('PROGRAM JADWAL GASAL'!M16="","",'PROGRAM JADWAL GASAL'!M16)</f>
        <v>C</v>
      </c>
      <c r="H15" s="139">
        <f>IF('PROGRAM JADWAL GASAL'!N16="","",'PROGRAM JADWAL GASAL'!N16)</f>
        <v>1</v>
      </c>
      <c r="I15" s="139">
        <f>IF('PROGRAM JADWAL GASAL'!O16="","",'PROGRAM JADWAL GASAL'!O16)</f>
        <v>4</v>
      </c>
      <c r="J15" s="139">
        <f>IF('PROGRAM JADWAL GASAL'!P16="","",'PROGRAM JADWAL GASAL'!P16)</f>
        <v>35</v>
      </c>
      <c r="K15" s="136" t="str">
        <f>IF('PROGRAM JADWAL GASAL'!Q16="","",'PROGRAM JADWAL GASAL'!Q16)</f>
        <v>Morteza Muthahhari, S.Kom., M.T.I</v>
      </c>
      <c r="L15" s="138" t="str">
        <f>IF('PROGRAM JADWAL GASAL'!R16="","",'PROGRAM JADWAL GASAL'!R16)</f>
        <v>ONLINE</v>
      </c>
    </row>
    <row r="16" spans="1:12" s="126" customFormat="1" ht="34.950000000000003" customHeight="1" x14ac:dyDescent="0.3">
      <c r="A16" s="278"/>
      <c r="B16" s="133">
        <f>IF('PROGRAM JADWAL GASAL'!C17="","",'PROGRAM JADWAL GASAL'!C17)</f>
        <v>0.4236111111111111</v>
      </c>
      <c r="C16" s="140" t="str">
        <f>IF('PROGRAM JADWAL GASAL'!D17="","",'PROGRAM JADWAL GASAL'!D17)</f>
        <v>s/d</v>
      </c>
      <c r="D16" s="135">
        <f>IF('PROGRAM JADWAL GASAL'!E17="","",'PROGRAM JADWAL GASAL'!E17)</f>
        <v>0.49305555555555558</v>
      </c>
      <c r="E16" s="136" t="str">
        <f>IF('PROGRAM JADWAL GASAL'!H17="","",'PROGRAM JADWAL GASAL'!H17)</f>
        <v>INF-55201-302</v>
      </c>
      <c r="F16" s="137" t="str">
        <f>IF('PROGRAM JADWAL GASAL'!I17="","",'PROGRAM JADWAL GASAL'!I17)</f>
        <v>Pemrograman  Web *</v>
      </c>
      <c r="G16" s="138" t="str">
        <f>IF('PROGRAM JADWAL GASAL'!M17="","",'PROGRAM JADWAL GASAL'!M17)</f>
        <v>B</v>
      </c>
      <c r="H16" s="139">
        <f>IF('PROGRAM JADWAL GASAL'!N17="","",'PROGRAM JADWAL GASAL'!N17)</f>
        <v>5</v>
      </c>
      <c r="I16" s="139">
        <f>IF('PROGRAM JADWAL GASAL'!O17="","",'PROGRAM JADWAL GASAL'!O17)</f>
        <v>4</v>
      </c>
      <c r="J16" s="139">
        <f>IF('PROGRAM JADWAL GASAL'!P17="","",'PROGRAM JADWAL GASAL'!P17)</f>
        <v>25</v>
      </c>
      <c r="K16" s="136" t="str">
        <f>IF('PROGRAM JADWAL GASAL'!Q17="","",'PROGRAM JADWAL GASAL'!Q17)</f>
        <v>Enda Esyudha Pratama, S.T., M.T. / Fauzan Asrin, S.Kom, M. Kom.</v>
      </c>
      <c r="L16" s="138" t="str">
        <f>IF('PROGRAM JADWAL GASAL'!R17="","",'PROGRAM JADWAL GASAL'!R17)</f>
        <v>ONLINE</v>
      </c>
    </row>
    <row r="17" spans="1:12" s="126" customFormat="1" ht="34.950000000000003" customHeight="1" x14ac:dyDescent="0.3">
      <c r="A17" s="278"/>
      <c r="B17" s="133" t="str">
        <f>IF('PROGRAM JADWAL GASAL'!C18="","",'PROGRAM JADWAL GASAL'!C18)</f>
        <v/>
      </c>
      <c r="C17" s="134" t="str">
        <f>IF('PROGRAM JADWAL GASAL'!D18="","",'PROGRAM JADWAL GASAL'!D18)</f>
        <v/>
      </c>
      <c r="D17" s="135" t="str">
        <f>IF('PROGRAM JADWAL GASAL'!E18="","",'PROGRAM JADWAL GASAL'!E18)</f>
        <v/>
      </c>
      <c r="E17" s="136" t="str">
        <f>IF('PROGRAM JADWAL GASAL'!H18="","",'PROGRAM JADWAL GASAL'!H18)</f>
        <v/>
      </c>
      <c r="F17" s="137" t="str">
        <f>IF('PROGRAM JADWAL GASAL'!I18="","",'PROGRAM JADWAL GASAL'!I18)</f>
        <v/>
      </c>
      <c r="G17" s="138" t="str">
        <f>IF('PROGRAM JADWAL GASAL'!M18="","",'PROGRAM JADWAL GASAL'!M18)</f>
        <v/>
      </c>
      <c r="H17" s="139" t="str">
        <f>IF('PROGRAM JADWAL GASAL'!N18="","",'PROGRAM JADWAL GASAL'!N18)</f>
        <v/>
      </c>
      <c r="I17" s="139" t="str">
        <f>IF('PROGRAM JADWAL GASAL'!O18="","",'PROGRAM JADWAL GASAL'!O18)</f>
        <v/>
      </c>
      <c r="J17" s="139" t="str">
        <f>IF('PROGRAM JADWAL GASAL'!P18="","",'PROGRAM JADWAL GASAL'!P18)</f>
        <v/>
      </c>
      <c r="K17" s="136" t="str">
        <f>IF('PROGRAM JADWAL GASAL'!Q18="","",'PROGRAM JADWAL GASAL'!Q18)</f>
        <v/>
      </c>
      <c r="L17" s="138" t="str">
        <f>IF('PROGRAM JADWAL GASAL'!R18="","",'PROGRAM JADWAL GASAL'!R18)</f>
        <v/>
      </c>
    </row>
    <row r="18" spans="1:12" s="126" customFormat="1" ht="34.950000000000003" customHeight="1" x14ac:dyDescent="0.3">
      <c r="A18" s="278"/>
      <c r="B18" s="143">
        <f>IF('PROGRAM JADWAL GASAL'!C19="","",'PROGRAM JADWAL GASAL'!C19)</f>
        <v>0.53125</v>
      </c>
      <c r="C18" s="144" t="str">
        <f>IF('PROGRAM JADWAL GASAL'!D19="","",'PROGRAM JADWAL GASAL'!D19)</f>
        <v>s/d</v>
      </c>
      <c r="D18" s="145">
        <f>IF('PROGRAM JADWAL GASAL'!E19="","",'PROGRAM JADWAL GASAL'!E19)</f>
        <v>0.60069444444444442</v>
      </c>
      <c r="E18" s="136" t="str">
        <f>IF('PROGRAM JADWAL GASAL'!H19="","",'PROGRAM JADWAL GASAL'!H19)</f>
        <v>INF-55201-202</v>
      </c>
      <c r="F18" s="137" t="str">
        <f>IF('PROGRAM JADWAL GASAL'!I19="","",'PROGRAM JADWAL GASAL'!I19)</f>
        <v>Teori  Graf  </v>
      </c>
      <c r="G18" s="138" t="str">
        <f>IF('PROGRAM JADWAL GASAL'!M19="","",'PROGRAM JADWAL GASAL'!M19)</f>
        <v>A</v>
      </c>
      <c r="H18" s="139">
        <f>IF('PROGRAM JADWAL GASAL'!N19="","",'PROGRAM JADWAL GASAL'!N19)</f>
        <v>3</v>
      </c>
      <c r="I18" s="139">
        <f>IF('PROGRAM JADWAL GASAL'!O19="","",'PROGRAM JADWAL GASAL'!O19)</f>
        <v>2</v>
      </c>
      <c r="J18" s="139">
        <f>IF('PROGRAM JADWAL GASAL'!P19="","",'PROGRAM JADWAL GASAL'!P19)</f>
        <v>25</v>
      </c>
      <c r="K18" s="136" t="str">
        <f>IF('PROGRAM JADWAL GASAL'!Q19="","",'PROGRAM JADWAL GASAL'!Q19)</f>
        <v>Haried Novriando, S.Kom, M.Eng / Alfian Abdul Jalid, S.Kom., M.Cs.</v>
      </c>
      <c r="L18" s="138" t="str">
        <f>IF('PROGRAM JADWAL GASAL'!R19="","",'PROGRAM JADWAL GASAL'!R19)</f>
        <v>ONLINE</v>
      </c>
    </row>
    <row r="19" spans="1:12" s="126" customFormat="1" ht="34.950000000000003" customHeight="1" x14ac:dyDescent="0.3">
      <c r="A19" s="278"/>
      <c r="B19" s="133">
        <f>IF('PROGRAM JADWAL GASAL'!C20="","",'PROGRAM JADWAL GASAL'!C20)</f>
        <v>0.53125</v>
      </c>
      <c r="C19" s="134" t="str">
        <f>IF('PROGRAM JADWAL GASAL'!D20="","",'PROGRAM JADWAL GASAL'!D20)</f>
        <v>s/d</v>
      </c>
      <c r="D19" s="135">
        <f>IF('PROGRAM JADWAL GASAL'!E20="","",'PROGRAM JADWAL GASAL'!E20)</f>
        <v>0.60069444444444442</v>
      </c>
      <c r="E19" s="136" t="str">
        <f>IF('PROGRAM JADWAL GASAL'!H20="","",'PROGRAM JADWAL GASAL'!H20)</f>
        <v>INF-55201-103</v>
      </c>
      <c r="F19" s="137" t="str">
        <f>IF('PROGRAM JADWAL GASAL'!I20="","",'PROGRAM JADWAL GASAL'!I20)</f>
        <v>Dasar  Pemrograman*</v>
      </c>
      <c r="G19" s="138" t="str">
        <f>IF('PROGRAM JADWAL GASAL'!M20="","",'PROGRAM JADWAL GASAL'!M20)</f>
        <v>C</v>
      </c>
      <c r="H19" s="139">
        <f>IF('PROGRAM JADWAL GASAL'!N20="","",'PROGRAM JADWAL GASAL'!N20)</f>
        <v>1</v>
      </c>
      <c r="I19" s="139">
        <f>IF('PROGRAM JADWAL GASAL'!O20="","",'PROGRAM JADWAL GASAL'!O20)</f>
        <v>4</v>
      </c>
      <c r="J19" s="139">
        <f>IF('PROGRAM JADWAL GASAL'!P20="","",'PROGRAM JADWAL GASAL'!P20)</f>
        <v>35</v>
      </c>
      <c r="K19" s="136" t="str">
        <f>IF('PROGRAM JADWAL GASAL'!Q20="","",'PROGRAM JADWAL GASAL'!Q20)</f>
        <v>Morteza Muthahhari, S.Kom., M.T.I</v>
      </c>
      <c r="L19" s="138" t="str">
        <f>IF('PROGRAM JADWAL GASAL'!R20="","",'PROGRAM JADWAL GASAL'!R20)</f>
        <v>ONLINE</v>
      </c>
    </row>
    <row r="20" spans="1:12" s="126" customFormat="1" ht="34.950000000000003" customHeight="1" x14ac:dyDescent="0.3">
      <c r="A20" s="278"/>
      <c r="B20" s="143">
        <f>IF('PROGRAM JADWAL GASAL'!C21="","",'PROGRAM JADWAL GASAL'!C21)</f>
        <v>0.53125</v>
      </c>
      <c r="C20" s="144" t="str">
        <f>IF('PROGRAM JADWAL GASAL'!D21="","",'PROGRAM JADWAL GASAL'!D21)</f>
        <v>s/d</v>
      </c>
      <c r="D20" s="145">
        <f>IF('PROGRAM JADWAL GASAL'!E21="","",'PROGRAM JADWAL GASAL'!E21)</f>
        <v>0.60069444444444442</v>
      </c>
      <c r="E20" s="136" t="str">
        <f>IF('PROGRAM JADWAL GASAL'!H21="","",'PROGRAM JADWAL GASAL'!H21)</f>
        <v>INF-55201-311</v>
      </c>
      <c r="F20" s="137" t="str">
        <f>IF('PROGRAM JADWAL GASAL'!I21="","",'PROGRAM JADWAL GASAL'!I21)</f>
        <v>Riset Operasi</v>
      </c>
      <c r="G20" s="138" t="str">
        <f>IF('PROGRAM JADWAL GASAL'!M21="","",'PROGRAM JADWAL GASAL'!M21)</f>
        <v>A</v>
      </c>
      <c r="H20" s="139">
        <f>IF('PROGRAM JADWAL GASAL'!N21="","",'PROGRAM JADWAL GASAL'!N21)</f>
        <v>5</v>
      </c>
      <c r="I20" s="139">
        <f>IF('PROGRAM JADWAL GASAL'!O21="","",'PROGRAM JADWAL GASAL'!O21)</f>
        <v>2</v>
      </c>
      <c r="J20" s="139">
        <f>IF('PROGRAM JADWAL GASAL'!P21="","",'PROGRAM JADWAL GASAL'!P21)</f>
        <v>20</v>
      </c>
      <c r="K20" s="136" t="str">
        <f>IF('PROGRAM JADWAL GASAL'!Q21="","",'PROGRAM JADWAL GASAL'!Q21)</f>
        <v>Eva Faja Ripanti, S.Kom, MMSI, Ph.D / Khairul Hafidh, S.T., M.Kom.</v>
      </c>
      <c r="L20" s="138" t="str">
        <f>IF('PROGRAM JADWAL GASAL'!R21="","",'PROGRAM JADWAL GASAL'!R21)</f>
        <v>ONLINE</v>
      </c>
    </row>
    <row r="21" spans="1:12" s="126" customFormat="1" ht="34.950000000000003" customHeight="1" x14ac:dyDescent="0.3">
      <c r="A21" s="278"/>
      <c r="B21" s="133">
        <f>IF('PROGRAM JADWAL GASAL'!C22="","",'PROGRAM JADWAL GASAL'!C22)</f>
        <v>0.53125</v>
      </c>
      <c r="C21" s="134" t="str">
        <f>IF('PROGRAM JADWAL GASAL'!D22="","",'PROGRAM JADWAL GASAL'!D22)</f>
        <v>s/d</v>
      </c>
      <c r="D21" s="135">
        <f>IF('PROGRAM JADWAL GASAL'!E22="","",'PROGRAM JADWAL GASAL'!E22)</f>
        <v>0.60069444444444442</v>
      </c>
      <c r="E21" s="136" t="str">
        <f>IF('PROGRAM JADWAL GASAL'!H22="","",'PROGRAM JADWAL GASAL'!H22)</f>
        <v>INF-55201-302</v>
      </c>
      <c r="F21" s="137" t="str">
        <f>IF('PROGRAM JADWAL GASAL'!I22="","",'PROGRAM JADWAL GASAL'!I22)</f>
        <v>Pemrograman  Web *</v>
      </c>
      <c r="G21" s="138" t="str">
        <f>IF('PROGRAM JADWAL GASAL'!M22="","",'PROGRAM JADWAL GASAL'!M22)</f>
        <v>B</v>
      </c>
      <c r="H21" s="139">
        <f>IF('PROGRAM JADWAL GASAL'!N22="","",'PROGRAM JADWAL GASAL'!N22)</f>
        <v>5</v>
      </c>
      <c r="I21" s="139">
        <f>IF('PROGRAM JADWAL GASAL'!O22="","",'PROGRAM JADWAL GASAL'!O22)</f>
        <v>4</v>
      </c>
      <c r="J21" s="139">
        <f>IF('PROGRAM JADWAL GASAL'!P22="","",'PROGRAM JADWAL GASAL'!P22)</f>
        <v>25</v>
      </c>
      <c r="K21" s="136" t="str">
        <f>IF('PROGRAM JADWAL GASAL'!Q22="","",'PROGRAM JADWAL GASAL'!Q22)</f>
        <v>Enda Esyudha Pratama, S.T., M.T. / Fauzan Asrin, S.Kom, M. Kom.</v>
      </c>
      <c r="L21" s="138" t="str">
        <f>IF('PROGRAM JADWAL GASAL'!R22="","",'PROGRAM JADWAL GASAL'!R22)</f>
        <v>ONLINE</v>
      </c>
    </row>
    <row r="22" spans="1:12" s="126" customFormat="1" ht="34.950000000000003" customHeight="1" x14ac:dyDescent="0.3">
      <c r="A22" s="278"/>
      <c r="B22" s="143" t="str">
        <f>IF('PROGRAM JADWAL GASAL'!C23="","",'PROGRAM JADWAL GASAL'!C23)</f>
        <v/>
      </c>
      <c r="C22" s="144" t="str">
        <f>IF('PROGRAM JADWAL GASAL'!D23="","",'PROGRAM JADWAL GASAL'!D23)</f>
        <v/>
      </c>
      <c r="D22" s="145" t="str">
        <f>IF('PROGRAM JADWAL GASAL'!E23="","",'PROGRAM JADWAL GASAL'!E23)</f>
        <v/>
      </c>
      <c r="E22" s="136" t="str">
        <f>IF('PROGRAM JADWAL GASAL'!H23="","",'PROGRAM JADWAL GASAL'!H23)</f>
        <v/>
      </c>
      <c r="F22" s="137" t="str">
        <f>IF('PROGRAM JADWAL GASAL'!I23="","",'PROGRAM JADWAL GASAL'!I23)</f>
        <v/>
      </c>
      <c r="G22" s="138" t="str">
        <f>IF('PROGRAM JADWAL GASAL'!M23="","",'PROGRAM JADWAL GASAL'!M23)</f>
        <v/>
      </c>
      <c r="H22" s="139" t="str">
        <f>IF('PROGRAM JADWAL GASAL'!N23="","",'PROGRAM JADWAL GASAL'!N23)</f>
        <v/>
      </c>
      <c r="I22" s="139" t="str">
        <f>IF('PROGRAM JADWAL GASAL'!O23="","",'PROGRAM JADWAL GASAL'!O23)</f>
        <v/>
      </c>
      <c r="J22" s="139" t="str">
        <f>IF('PROGRAM JADWAL GASAL'!P23="","",'PROGRAM JADWAL GASAL'!P23)</f>
        <v/>
      </c>
      <c r="K22" s="136" t="str">
        <f>IF('PROGRAM JADWAL GASAL'!Q23="","",'PROGRAM JADWAL GASAL'!Q23)</f>
        <v/>
      </c>
      <c r="L22" s="138" t="str">
        <f>IF('PROGRAM JADWAL GASAL'!R23="","",'PROGRAM JADWAL GASAL'!R23)</f>
        <v/>
      </c>
    </row>
    <row r="23" spans="1:12" ht="34.950000000000003" customHeight="1" x14ac:dyDescent="0.3">
      <c r="A23" s="278"/>
      <c r="B23" s="133">
        <f>IF('PROGRAM JADWAL GASAL'!C24="","",'PROGRAM JADWAL GASAL'!C24)</f>
        <v>0.60416666666666663</v>
      </c>
      <c r="C23" s="134" t="str">
        <f>IF('PROGRAM JADWAL GASAL'!D24="","",'PROGRAM JADWAL GASAL'!D24)</f>
        <v>s/d</v>
      </c>
      <c r="D23" s="135">
        <f>IF('PROGRAM JADWAL GASAL'!E24="","",'PROGRAM JADWAL GASAL'!E24)</f>
        <v>0.70833333333333326</v>
      </c>
      <c r="E23" s="136" t="str">
        <f>IF('PROGRAM JADWAL GASAL'!H24="","",'PROGRAM JADWAL GASAL'!H24)</f>
        <v>INF-55201-102</v>
      </c>
      <c r="F23" s="137" t="str">
        <f>IF('PROGRAM JADWAL GASAL'!I24="","",'PROGRAM JADWAL GASAL'!I24)</f>
        <v>Logika Informatika</v>
      </c>
      <c r="G23" s="138" t="str">
        <f>IF('PROGRAM JADWAL GASAL'!M24="","",'PROGRAM JADWAL GASAL'!M24)</f>
        <v>A</v>
      </c>
      <c r="H23" s="139">
        <f>IF('PROGRAM JADWAL GASAL'!N24="","",'PROGRAM JADWAL GASAL'!N24)</f>
        <v>1</v>
      </c>
      <c r="I23" s="139">
        <f>IF('PROGRAM JADWAL GASAL'!O24="","",'PROGRAM JADWAL GASAL'!O24)</f>
        <v>3</v>
      </c>
      <c r="J23" s="139">
        <f>IF('PROGRAM JADWAL GASAL'!P24="","",'PROGRAM JADWAL GASAL'!P24)</f>
        <v>35</v>
      </c>
      <c r="K23" s="136" t="str">
        <f>IF('PROGRAM JADWAL GASAL'!Q24="","",'PROGRAM JADWAL GASAL'!Q24)</f>
        <v>Tursina ST, M.Cs / Niken Candraningrum, S.T., M.Cs.</v>
      </c>
      <c r="L23" s="138" t="str">
        <f>IF('PROGRAM JADWAL GASAL'!R24="","",'PROGRAM JADWAL GASAL'!R24)</f>
        <v>ONLINE</v>
      </c>
    </row>
    <row r="24" spans="1:12" ht="34.950000000000003" customHeight="1" x14ac:dyDescent="0.3">
      <c r="A24" s="278"/>
      <c r="B24" s="143">
        <f>IF('PROGRAM JADWAL GASAL'!C25="","",'PROGRAM JADWAL GASAL'!C25)</f>
        <v>0.60416666666666663</v>
      </c>
      <c r="C24" s="144" t="str">
        <f>IF('PROGRAM JADWAL GASAL'!D25="","",'PROGRAM JADWAL GASAL'!D25)</f>
        <v>s/d</v>
      </c>
      <c r="D24" s="145">
        <f>IF('PROGRAM JADWAL GASAL'!E25="","",'PROGRAM JADWAL GASAL'!E25)</f>
        <v>0.70833333333333326</v>
      </c>
      <c r="E24" s="136" t="str">
        <f>IF('PROGRAM JADWAL GASAL'!H25="","",'PROGRAM JADWAL GASAL'!H25)</f>
        <v>UMG-55201-105</v>
      </c>
      <c r="F24" s="137" t="str">
        <f>IF('PROGRAM JADWAL GASAL'!I25="","",'PROGRAM JADWAL GASAL'!I25)</f>
        <v>Pendidikan Agama</v>
      </c>
      <c r="G24" s="138" t="str">
        <f>IF('PROGRAM JADWAL GASAL'!M25="","",'PROGRAM JADWAL GASAL'!M25)</f>
        <v>C</v>
      </c>
      <c r="H24" s="139">
        <f>IF('PROGRAM JADWAL GASAL'!N25="","",'PROGRAM JADWAL GASAL'!N25)</f>
        <v>1</v>
      </c>
      <c r="I24" s="139">
        <f>IF('PROGRAM JADWAL GASAL'!O25="","",'PROGRAM JADWAL GASAL'!O25)</f>
        <v>3</v>
      </c>
      <c r="J24" s="139">
        <f>IF('PROGRAM JADWAL GASAL'!P25="","",'PROGRAM JADWAL GASAL'!P25)</f>
        <v>35</v>
      </c>
      <c r="K24" s="136" t="str">
        <f>IF('PROGRAM JADWAL GASAL'!Q25="","",'PROGRAM JADWAL GASAL'!Q25)</f>
        <v>MKU</v>
      </c>
      <c r="L24" s="138" t="str">
        <f>IF('PROGRAM JADWAL GASAL'!R25="","",'PROGRAM JADWAL GASAL'!R25)</f>
        <v>ONLINE</v>
      </c>
    </row>
    <row r="25" spans="1:12" ht="34.950000000000003" customHeight="1" x14ac:dyDescent="0.3">
      <c r="A25" s="278"/>
      <c r="B25" s="133">
        <f>IF('PROGRAM JADWAL GASAL'!C26="","",'PROGRAM JADWAL GASAL'!C26)</f>
        <v>0.60416666666666663</v>
      </c>
      <c r="C25" s="134" t="str">
        <f>IF('PROGRAM JADWAL GASAL'!D26="","",'PROGRAM JADWAL GASAL'!D26)</f>
        <v>s/d</v>
      </c>
      <c r="D25" s="135">
        <f>IF('PROGRAM JADWAL GASAL'!E26="","",'PROGRAM JADWAL GASAL'!E26)</f>
        <v>0.70833333333333326</v>
      </c>
      <c r="E25" s="136" t="str">
        <f>IF('PROGRAM JADWAL GASAL'!H26="","",'PROGRAM JADWAL GASAL'!H26)</f>
        <v>INF-55201-207</v>
      </c>
      <c r="F25" s="137" t="str">
        <f>IF('PROGRAM JADWAL GASAL'!I26="","",'PROGRAM JADWAL GASAL'!I26)</f>
        <v>Sistem Operasi*</v>
      </c>
      <c r="G25" s="138" t="str">
        <f>IF('PROGRAM JADWAL GASAL'!M26="","",'PROGRAM JADWAL GASAL'!M26)</f>
        <v>B</v>
      </c>
      <c r="H25" s="139">
        <f>IF('PROGRAM JADWAL GASAL'!N26="","",'PROGRAM JADWAL GASAL'!N26)</f>
        <v>3</v>
      </c>
      <c r="I25" s="139">
        <f>IF('PROGRAM JADWAL GASAL'!O26="","",'PROGRAM JADWAL GASAL'!O26)</f>
        <v>3</v>
      </c>
      <c r="J25" s="139">
        <f>IF('PROGRAM JADWAL GASAL'!P26="","",'PROGRAM JADWAL GASAL'!P26)</f>
        <v>20</v>
      </c>
      <c r="K25" s="136" t="str">
        <f>IF('PROGRAM JADWAL GASAL'!Q26="","",'PROGRAM JADWAL GASAL'!Q26)</f>
        <v>Novi Safriadi, S.T., M.T.</v>
      </c>
      <c r="L25" s="138" t="str">
        <f>IF('PROGRAM JADWAL GASAL'!R26="","",'PROGRAM JADWAL GASAL'!R26)</f>
        <v>ONLINE</v>
      </c>
    </row>
    <row r="26" spans="1:12" ht="34.950000000000003" customHeight="1" x14ac:dyDescent="0.3">
      <c r="A26" s="278"/>
      <c r="B26" s="143">
        <f>IF('PROGRAM JADWAL GASAL'!C27="","",'PROGRAM JADWAL GASAL'!C27)</f>
        <v>0.60416666666666663</v>
      </c>
      <c r="C26" s="144" t="str">
        <f>IF('PROGRAM JADWAL GASAL'!D27="","",'PROGRAM JADWAL GASAL'!D27)</f>
        <v>s/d</v>
      </c>
      <c r="D26" s="145">
        <f>IF('PROGRAM JADWAL GASAL'!E27="","",'PROGRAM JADWAL GASAL'!E27)</f>
        <v>0.70833333333333326</v>
      </c>
      <c r="E26" s="136" t="str">
        <f>IF('PROGRAM JADWAL GASAL'!H27="","",'PROGRAM JADWAL GASAL'!H27)</f>
        <v>INF-55201-305</v>
      </c>
      <c r="F26" s="137" t="str">
        <f>IF('PROGRAM JADWAL GASAL'!I27="","",'PROGRAM JADWAL GASAL'!I27)</f>
        <v>Kecerdasan Buatan</v>
      </c>
      <c r="G26" s="138" t="str">
        <f>IF('PROGRAM JADWAL GASAL'!M27="","",'PROGRAM JADWAL GASAL'!M27)</f>
        <v>A</v>
      </c>
      <c r="H26" s="139">
        <f>IF('PROGRAM JADWAL GASAL'!N27="","",'PROGRAM JADWAL GASAL'!N27)</f>
        <v>5</v>
      </c>
      <c r="I26" s="139">
        <f>IF('PROGRAM JADWAL GASAL'!O27="","",'PROGRAM JADWAL GASAL'!O27)</f>
        <v>3</v>
      </c>
      <c r="J26" s="139">
        <f>IF('PROGRAM JADWAL GASAL'!P27="","",'PROGRAM JADWAL GASAL'!P27)</f>
        <v>20</v>
      </c>
      <c r="K26" s="136" t="str">
        <f>IF('PROGRAM JADWAL GASAL'!Q27="","",'PROGRAM JADWAL GASAL'!Q27)</f>
        <v>Dr. Yus Sholva, S.T., M.T. / Khairul Hafidh, S.T., M.Kom.</v>
      </c>
      <c r="L26" s="138" t="str">
        <f>IF('PROGRAM JADWAL GASAL'!R27="","",'PROGRAM JADWAL GASAL'!R27)</f>
        <v>ONLINE</v>
      </c>
    </row>
    <row r="27" spans="1:12" ht="34.799999999999997" customHeight="1" x14ac:dyDescent="0.3">
      <c r="A27" s="278"/>
      <c r="B27" s="133">
        <f>IF('PROGRAM JADWAL GASAL'!C28="","",'PROGRAM JADWAL GASAL'!C28)</f>
        <v>0.60416666666666663</v>
      </c>
      <c r="C27" s="134" t="str">
        <f>IF('PROGRAM JADWAL GASAL'!D28="","",'PROGRAM JADWAL GASAL'!D28)</f>
        <v>s/d</v>
      </c>
      <c r="D27" s="135">
        <f>IF('PROGRAM JADWAL GASAL'!E28="","",'PROGRAM JADWAL GASAL'!E28)</f>
        <v>0.70833333333333326</v>
      </c>
      <c r="E27" s="136" t="str">
        <f>IF('PROGRAM JADWAL GASAL'!H28="","",'PROGRAM JADWAL GASAL'!H28)</f>
        <v>INF­55201­540</v>
      </c>
      <c r="F27" s="137" t="str">
        <f>IF('PROGRAM JADWAL GASAL'!I28="","",'PROGRAM JADWAL GASAL'!I28)</f>
        <v>Kriptografi</v>
      </c>
      <c r="G27" s="138" t="str">
        <f>IF('PROGRAM JADWAL GASAL'!M28="","",'PROGRAM JADWAL GASAL'!M28)</f>
        <v>B</v>
      </c>
      <c r="H27" s="139">
        <f>IF('PROGRAM JADWAL GASAL'!N28="","",'PROGRAM JADWAL GASAL'!N28)</f>
        <v>7</v>
      </c>
      <c r="I27" s="139">
        <f>IF('PROGRAM JADWAL GASAL'!O28="","",'PROGRAM JADWAL GASAL'!O28)</f>
        <v>3</v>
      </c>
      <c r="J27" s="139">
        <f>IF('PROGRAM JADWAL GASAL'!P28="","",'PROGRAM JADWAL GASAL'!P28)</f>
        <v>20</v>
      </c>
      <c r="K27" s="136" t="str">
        <f>IF('PROGRAM JADWAL GASAL'!Q28="","",'PROGRAM JADWAL GASAL'!Q28)</f>
        <v>Helfi Nasution, S.Kom, M.Cs / Alfian Abdul Jalid, S.Kom., M.Cs.</v>
      </c>
      <c r="L27" s="138" t="str">
        <f>IF('PROGRAM JADWAL GASAL'!R28="","",'PROGRAM JADWAL GASAL'!R28)</f>
        <v>ONLINE</v>
      </c>
    </row>
    <row r="28" spans="1:12" ht="34.799999999999997" customHeight="1" x14ac:dyDescent="0.3">
      <c r="A28" s="130"/>
      <c r="B28" s="143" t="str">
        <f>IF('PROGRAM JADWAL GASAL'!C29="","",'PROGRAM JADWAL GASAL'!C29)</f>
        <v/>
      </c>
      <c r="C28" s="144" t="str">
        <f>IF('PROGRAM JADWAL GASAL'!D29="","",'PROGRAM JADWAL GASAL'!D29)</f>
        <v/>
      </c>
      <c r="D28" s="145" t="str">
        <f>IF('PROGRAM JADWAL GASAL'!E29="","",'PROGRAM JADWAL GASAL'!E29)</f>
        <v/>
      </c>
      <c r="E28" s="136" t="str">
        <f>IF('PROGRAM JADWAL GASAL'!H29="","",'PROGRAM JADWAL GASAL'!H29)</f>
        <v/>
      </c>
      <c r="F28" s="137" t="str">
        <f>IF('PROGRAM JADWAL GASAL'!I29="","",'PROGRAM JADWAL GASAL'!I29)</f>
        <v/>
      </c>
      <c r="G28" s="138" t="str">
        <f>IF('PROGRAM JADWAL GASAL'!M29="","",'PROGRAM JADWAL GASAL'!M29)</f>
        <v/>
      </c>
      <c r="H28" s="139" t="str">
        <f>IF('PROGRAM JADWAL GASAL'!N29="","",'PROGRAM JADWAL GASAL'!N29)</f>
        <v/>
      </c>
      <c r="I28" s="139" t="str">
        <f>IF('PROGRAM JADWAL GASAL'!O29="","",'PROGRAM JADWAL GASAL'!O29)</f>
        <v/>
      </c>
      <c r="J28" s="139" t="str">
        <f>IF('PROGRAM JADWAL GASAL'!P29="","",'PROGRAM JADWAL GASAL'!P29)</f>
        <v/>
      </c>
      <c r="K28" s="136" t="str">
        <f>IF('PROGRAM JADWAL GASAL'!Q29="","",'PROGRAM JADWAL GASAL'!Q29)</f>
        <v/>
      </c>
      <c r="L28" s="138" t="str">
        <f>IF('PROGRAM JADWAL GASAL'!R29="","",'PROGRAM JADWAL GASAL'!R29)</f>
        <v/>
      </c>
    </row>
    <row r="29" spans="1:12" ht="34.950000000000003" customHeight="1" x14ac:dyDescent="0.3">
      <c r="A29" s="275" t="s">
        <v>326</v>
      </c>
      <c r="B29" s="133">
        <f>IF('PROGRAM JADWAL GASAL'!C30="","",'PROGRAM JADWAL GASAL'!C30)</f>
        <v>1.3125</v>
      </c>
      <c r="C29" s="134" t="str">
        <f>IF('PROGRAM JADWAL GASAL'!D30="","",'PROGRAM JADWAL GASAL'!D30)</f>
        <v>s/d</v>
      </c>
      <c r="D29" s="135">
        <f>IF('PROGRAM JADWAL GASAL'!E30="","",'PROGRAM JADWAL GASAL'!E30)</f>
        <v>1.4166666666666667</v>
      </c>
      <c r="E29" s="136" t="str">
        <f>IF('PROGRAM JADWAL GASAL'!H30="","",'PROGRAM JADWAL GASAL'!H30)</f>
        <v>INF-55201-101</v>
      </c>
      <c r="F29" s="137" t="str">
        <f>IF('PROGRAM JADWAL GASAL'!I30="","",'PROGRAM JADWAL GASAL'!I30)</f>
        <v>Matematika  Dasar I</v>
      </c>
      <c r="G29" s="138" t="str">
        <f>IF('PROGRAM JADWAL GASAL'!M30="","",'PROGRAM JADWAL GASAL'!M30)</f>
        <v>C</v>
      </c>
      <c r="H29" s="139">
        <f>IF('PROGRAM JADWAL GASAL'!N30="","",'PROGRAM JADWAL GASAL'!N30)</f>
        <v>1</v>
      </c>
      <c r="I29" s="139">
        <f>IF('PROGRAM JADWAL GASAL'!O30="","",'PROGRAM JADWAL GASAL'!O30)</f>
        <v>3</v>
      </c>
      <c r="J29" s="139">
        <f>IF('PROGRAM JADWAL GASAL'!P30="","",'PROGRAM JADWAL GASAL'!P30)</f>
        <v>25</v>
      </c>
      <c r="K29" s="136" t="str">
        <f>IF('PROGRAM JADWAL GASAL'!Q30="","",'PROGRAM JADWAL GASAL'!Q30)</f>
        <v>Anggi Srimurdianti, S.T., M.T. / Niken Candraningrum, S.T., M.Cs.</v>
      </c>
      <c r="L29" s="138" t="str">
        <f>IF('PROGRAM JADWAL GASAL'!R30="","",'PROGRAM JADWAL GASAL'!R30)</f>
        <v>ONLINE</v>
      </c>
    </row>
    <row r="30" spans="1:12" ht="34.950000000000003" customHeight="1" x14ac:dyDescent="0.3">
      <c r="A30" s="275"/>
      <c r="B30" s="143">
        <f>IF('PROGRAM JADWAL GASAL'!C31="","",'PROGRAM JADWAL GASAL'!C31)</f>
        <v>1.3125</v>
      </c>
      <c r="C30" s="144" t="str">
        <f>IF('PROGRAM JADWAL GASAL'!D31="","",'PROGRAM JADWAL GASAL'!D31)</f>
        <v>s/d</v>
      </c>
      <c r="D30" s="145">
        <f>IF('PROGRAM JADWAL GASAL'!E31="","",'PROGRAM JADWAL GASAL'!E31)</f>
        <v>1.4166666666666667</v>
      </c>
      <c r="E30" s="136" t="str">
        <f>IF('PROGRAM JADWAL GASAL'!H31="","",'PROGRAM JADWAL GASAL'!H31)</f>
        <v>INF-55201-203</v>
      </c>
      <c r="F30" s="137" t="str">
        <f>IF('PROGRAM JADWAL GASAL'!I31="","",'PROGRAM JADWAL GASAL'!I31)</f>
        <v>Matematika  Diskrit  </v>
      </c>
      <c r="G30" s="138" t="str">
        <f>IF('PROGRAM JADWAL GASAL'!M31="","",'PROGRAM JADWAL GASAL'!M31)</f>
        <v>B</v>
      </c>
      <c r="H30" s="139">
        <f>IF('PROGRAM JADWAL GASAL'!N31="","",'PROGRAM JADWAL GASAL'!N31)</f>
        <v>3</v>
      </c>
      <c r="I30" s="139">
        <f>IF('PROGRAM JADWAL GASAL'!O31="","",'PROGRAM JADWAL GASAL'!O31)</f>
        <v>3</v>
      </c>
      <c r="J30" s="139">
        <f>IF('PROGRAM JADWAL GASAL'!P31="","",'PROGRAM JADWAL GASAL'!P31)</f>
        <v>25</v>
      </c>
      <c r="K30" s="136" t="str">
        <f>IF('PROGRAM JADWAL GASAL'!Q31="","",'PROGRAM JADWAL GASAL'!Q31)</f>
        <v>Yulianti,S.Kom, MMSI</v>
      </c>
      <c r="L30" s="138" t="str">
        <f>IF('PROGRAM JADWAL GASAL'!R31="","",'PROGRAM JADWAL GASAL'!R31)</f>
        <v>ONLINE</v>
      </c>
    </row>
    <row r="31" spans="1:12" ht="34.950000000000003" customHeight="1" x14ac:dyDescent="0.3">
      <c r="A31" s="275"/>
      <c r="B31" s="133">
        <f>IF('PROGRAM JADWAL GASAL'!C32="","",'PROGRAM JADWAL GASAL'!C32)</f>
        <v>1.3125</v>
      </c>
      <c r="C31" s="134" t="str">
        <f>IF('PROGRAM JADWAL GASAL'!D32="","",'PROGRAM JADWAL GASAL'!D32)</f>
        <v>s/d</v>
      </c>
      <c r="D31" s="135">
        <f>IF('PROGRAM JADWAL GASAL'!E32="","",'PROGRAM JADWAL GASAL'!E32)</f>
        <v>1.4166666666666667</v>
      </c>
      <c r="E31" s="136" t="str">
        <f>IF('PROGRAM JADWAL GASAL'!H32="","",'PROGRAM JADWAL GASAL'!H32)</f>
        <v>INF-55201-303</v>
      </c>
      <c r="F31" s="137" t="str">
        <f>IF('PROGRAM JADWAL GASAL'!I32="","",'PROGRAM JADWAL GASAL'!I32)</f>
        <v>Pemrograman Jaringan *</v>
      </c>
      <c r="G31" s="138" t="str">
        <f>IF('PROGRAM JADWAL GASAL'!M32="","",'PROGRAM JADWAL GASAL'!M32)</f>
        <v>A</v>
      </c>
      <c r="H31" s="139">
        <f>IF('PROGRAM JADWAL GASAL'!N32="","",'PROGRAM JADWAL GASAL'!N32)</f>
        <v>5</v>
      </c>
      <c r="I31" s="139">
        <f>IF('PROGRAM JADWAL GASAL'!O32="","",'PROGRAM JADWAL GASAL'!O32)</f>
        <v>3</v>
      </c>
      <c r="J31" s="139">
        <f>IF('PROGRAM JADWAL GASAL'!P32="","",'PROGRAM JADWAL GASAL'!P32)</f>
        <v>25</v>
      </c>
      <c r="K31" s="136" t="str">
        <f>IF('PROGRAM JADWAL GASAL'!Q32="","",'PROGRAM JADWAL GASAL'!Q32)</f>
        <v>Heri Priyanto,S.T., M.T.</v>
      </c>
      <c r="L31" s="138" t="str">
        <f>IF('PROGRAM JADWAL GASAL'!R32="","",'PROGRAM JADWAL GASAL'!R32)</f>
        <v>ONLINE</v>
      </c>
    </row>
    <row r="32" spans="1:12" ht="34.950000000000003" customHeight="1" x14ac:dyDescent="0.3">
      <c r="A32" s="275"/>
      <c r="B32" s="143">
        <f>IF('PROGRAM JADWAL GASAL'!C33="","",'PROGRAM JADWAL GASAL'!C33)</f>
        <v>1.3125</v>
      </c>
      <c r="C32" s="144" t="str">
        <f>IF('PROGRAM JADWAL GASAL'!D33="","",'PROGRAM JADWAL GASAL'!D33)</f>
        <v>s/d</v>
      </c>
      <c r="D32" s="145">
        <f>IF('PROGRAM JADWAL GASAL'!E33="","",'PROGRAM JADWAL GASAL'!E33)</f>
        <v>1.4166666666666667</v>
      </c>
      <c r="E32" s="136" t="str">
        <f>IF('PROGRAM JADWAL GASAL'!H33="","",'PROGRAM JADWAL GASAL'!H33)</f>
        <v>INF-55201-305</v>
      </c>
      <c r="F32" s="137" t="str">
        <f>IF('PROGRAM JADWAL GASAL'!I33="","",'PROGRAM JADWAL GASAL'!I33)</f>
        <v>Kecerdasan Buatan</v>
      </c>
      <c r="G32" s="138" t="str">
        <f>IF('PROGRAM JADWAL GASAL'!M33="","",'PROGRAM JADWAL GASAL'!M33)</f>
        <v>C</v>
      </c>
      <c r="H32" s="139">
        <f>IF('PROGRAM JADWAL GASAL'!N33="","",'PROGRAM JADWAL GASAL'!N33)</f>
        <v>5</v>
      </c>
      <c r="I32" s="139">
        <f>IF('PROGRAM JADWAL GASAL'!O33="","",'PROGRAM JADWAL GASAL'!O33)</f>
        <v>3</v>
      </c>
      <c r="J32" s="139">
        <f>IF('PROGRAM JADWAL GASAL'!P33="","",'PROGRAM JADWAL GASAL'!P33)</f>
        <v>20</v>
      </c>
      <c r="K32" s="136" t="str">
        <f>IF('PROGRAM JADWAL GASAL'!Q33="","",'PROGRAM JADWAL GASAL'!Q33)</f>
        <v>Tursina ST, M.Cs / Rina Septiriana, S.T., M.Cs.</v>
      </c>
      <c r="L32" s="138" t="str">
        <f>IF('PROGRAM JADWAL GASAL'!R33="","",'PROGRAM JADWAL GASAL'!R33)</f>
        <v>ONLINE</v>
      </c>
    </row>
    <row r="33" spans="1:12" ht="34.950000000000003" customHeight="1" x14ac:dyDescent="0.3">
      <c r="A33" s="275"/>
      <c r="B33" s="133">
        <f>IF('PROGRAM JADWAL GASAL'!C34="","",'PROGRAM JADWAL GASAL'!C34)</f>
        <v>0.3125</v>
      </c>
      <c r="C33" s="134" t="str">
        <f>IF('PROGRAM JADWAL GASAL'!D34="","",'PROGRAM JADWAL GASAL'!D34)</f>
        <v>s/d</v>
      </c>
      <c r="D33" s="135">
        <f>IF('PROGRAM JADWAL GASAL'!E34="","",'PROGRAM JADWAL GASAL'!E34)</f>
        <v>0.41666666666666669</v>
      </c>
      <c r="E33" s="136" t="str">
        <f>IF('PROGRAM JADWAL GASAL'!H34="","",'PROGRAM JADWAL GASAL'!H34)</f>
        <v>INF­55201­540</v>
      </c>
      <c r="F33" s="137" t="str">
        <f>IF('PROGRAM JADWAL GASAL'!I34="","",'PROGRAM JADWAL GASAL'!I34)</f>
        <v>Kriptografi</v>
      </c>
      <c r="G33" s="138" t="str">
        <f>IF('PROGRAM JADWAL GASAL'!M34="","",'PROGRAM JADWAL GASAL'!M34)</f>
        <v>A</v>
      </c>
      <c r="H33" s="139">
        <f>IF('PROGRAM JADWAL GASAL'!N34="","",'PROGRAM JADWAL GASAL'!N34)</f>
        <v>7</v>
      </c>
      <c r="I33" s="139">
        <f>IF('PROGRAM JADWAL GASAL'!O34="","",'PROGRAM JADWAL GASAL'!O34)</f>
        <v>3</v>
      </c>
      <c r="J33" s="139">
        <f>IF('PROGRAM JADWAL GASAL'!P34="","",'PROGRAM JADWAL GASAL'!P34)</f>
        <v>20</v>
      </c>
      <c r="K33" s="136" t="str">
        <f>IF('PROGRAM JADWAL GASAL'!Q34="","",'PROGRAM JADWAL GASAL'!Q34)</f>
        <v>Helfi Nasution, S.Kom, M.Cs / Alfian Abdul Jalid, S.Kom., M.Cs.</v>
      </c>
      <c r="L33" s="138" t="str">
        <f>IF('PROGRAM JADWAL GASAL'!R34="","",'PROGRAM JADWAL GASAL'!R34)</f>
        <v>ONLINE</v>
      </c>
    </row>
    <row r="34" spans="1:12" ht="34.950000000000003" customHeight="1" x14ac:dyDescent="0.3">
      <c r="A34" s="275"/>
      <c r="B34" s="143">
        <f>IF('PROGRAM JADWAL GASAL'!C35="","",'PROGRAM JADWAL GASAL'!C35)</f>
        <v>0.3125</v>
      </c>
      <c r="C34" s="144" t="str">
        <f>IF('PROGRAM JADWAL GASAL'!D35="","",'PROGRAM JADWAL GASAL'!D35)</f>
        <v>s/d</v>
      </c>
      <c r="D34" s="145">
        <f>IF('PROGRAM JADWAL GASAL'!E35="","",'PROGRAM JADWAL GASAL'!E35)</f>
        <v>0.41666666666666669</v>
      </c>
      <c r="E34" s="136" t="str">
        <f>IF('PROGRAM JADWAL GASAL'!H35="","",'PROGRAM JADWAL GASAL'!H35)</f>
        <v>INF-55201-401</v>
      </c>
      <c r="F34" s="137" t="str">
        <f>IF('PROGRAM JADWAL GASAL'!I35="","",'PROGRAM JADWAL GASAL'!I35)</f>
        <v>Teknopreneur*</v>
      </c>
      <c r="G34" s="138" t="str">
        <f>IF('PROGRAM JADWAL GASAL'!M35="","",'PROGRAM JADWAL GASAL'!M35)</f>
        <v>B</v>
      </c>
      <c r="H34" s="139">
        <f>IF('PROGRAM JADWAL GASAL'!N35="","",'PROGRAM JADWAL GASAL'!N35)</f>
        <v>7</v>
      </c>
      <c r="I34" s="139">
        <f>IF('PROGRAM JADWAL GASAL'!O35="","",'PROGRAM JADWAL GASAL'!O35)</f>
        <v>3</v>
      </c>
      <c r="J34" s="139">
        <f>IF('PROGRAM JADWAL GASAL'!P35="","",'PROGRAM JADWAL GASAL'!P35)</f>
        <v>20</v>
      </c>
      <c r="K34" s="136" t="str">
        <f>IF('PROGRAM JADWAL GASAL'!Q35="","",'PROGRAM JADWAL GASAL'!Q35)</f>
        <v>Rudy Dwi Nyoto, S.T., M.Eng</v>
      </c>
      <c r="L34" s="138" t="str">
        <f>IF('PROGRAM JADWAL GASAL'!R35="","",'PROGRAM JADWAL GASAL'!R35)</f>
        <v>ONLINE</v>
      </c>
    </row>
    <row r="35" spans="1:12" ht="34.950000000000003" customHeight="1" x14ac:dyDescent="0.3">
      <c r="A35" s="275"/>
      <c r="B35" s="133" t="str">
        <f>IF('PROGRAM JADWAL GASAL'!C36="","",'PROGRAM JADWAL GASAL'!C36)</f>
        <v/>
      </c>
      <c r="C35" s="134" t="str">
        <f>IF('PROGRAM JADWAL GASAL'!D36="","",'PROGRAM JADWAL GASAL'!D36)</f>
        <v/>
      </c>
      <c r="D35" s="135" t="str">
        <f>IF('PROGRAM JADWAL GASAL'!E36="","",'PROGRAM JADWAL GASAL'!E36)</f>
        <v/>
      </c>
      <c r="E35" s="136" t="str">
        <f>IF('PROGRAM JADWAL GASAL'!H36="","",'PROGRAM JADWAL GASAL'!H36)</f>
        <v/>
      </c>
      <c r="F35" s="137" t="str">
        <f>IF('PROGRAM JADWAL GASAL'!I36="","",'PROGRAM JADWAL GASAL'!I36)</f>
        <v/>
      </c>
      <c r="G35" s="138" t="str">
        <f>IF('PROGRAM JADWAL GASAL'!M36="","",'PROGRAM JADWAL GASAL'!M36)</f>
        <v/>
      </c>
      <c r="H35" s="139" t="str">
        <f>IF('PROGRAM JADWAL GASAL'!N36="","",'PROGRAM JADWAL GASAL'!N36)</f>
        <v/>
      </c>
      <c r="I35" s="139" t="str">
        <f>IF('PROGRAM JADWAL GASAL'!O36="","",'PROGRAM JADWAL GASAL'!O36)</f>
        <v/>
      </c>
      <c r="J35" s="139" t="str">
        <f>IF('PROGRAM JADWAL GASAL'!P36="","",'PROGRAM JADWAL GASAL'!P36)</f>
        <v/>
      </c>
      <c r="K35" s="136" t="str">
        <f>IF('PROGRAM JADWAL GASAL'!Q36="","",'PROGRAM JADWAL GASAL'!Q36)</f>
        <v/>
      </c>
      <c r="L35" s="138" t="str">
        <f>IF('PROGRAM JADWAL GASAL'!R36="","",'PROGRAM JADWAL GASAL'!R36)</f>
        <v/>
      </c>
    </row>
    <row r="36" spans="1:12" ht="34.950000000000003" customHeight="1" x14ac:dyDescent="0.3">
      <c r="A36" s="275"/>
      <c r="B36" s="143">
        <f>IF('PROGRAM JADWAL GASAL'!C37="","",'PROGRAM JADWAL GASAL'!C37)</f>
        <v>0.4236111111111111</v>
      </c>
      <c r="C36" s="144" t="str">
        <f>IF('PROGRAM JADWAL GASAL'!D37="","",'PROGRAM JADWAL GASAL'!D37)</f>
        <v>s/d</v>
      </c>
      <c r="D36" s="145">
        <f>IF('PROGRAM JADWAL GASAL'!E37="","",'PROGRAM JADWAL GASAL'!E37)</f>
        <v>0.49305555555555558</v>
      </c>
      <c r="E36" s="136" t="str">
        <f>IF('PROGRAM JADWAL GASAL'!H37="","",'PROGRAM JADWAL GASAL'!H37)</f>
        <v>UMG-55201-101</v>
      </c>
      <c r="F36" s="137" t="str">
        <f>IF('PROGRAM JADWAL GASAL'!I37="","",'PROGRAM JADWAL GASAL'!I37)</f>
        <v>Pendidikan Pancasila</v>
      </c>
      <c r="G36" s="138" t="str">
        <f>IF('PROGRAM JADWAL GASAL'!M37="","",'PROGRAM JADWAL GASAL'!M37)</f>
        <v>A</v>
      </c>
      <c r="H36" s="139">
        <f>IF('PROGRAM JADWAL GASAL'!N37="","",'PROGRAM JADWAL GASAL'!N37)</f>
        <v>1</v>
      </c>
      <c r="I36" s="139">
        <f>IF('PROGRAM JADWAL GASAL'!O37="","",'PROGRAM JADWAL GASAL'!O37)</f>
        <v>2</v>
      </c>
      <c r="J36" s="139">
        <f>IF('PROGRAM JADWAL GASAL'!P37="","",'PROGRAM JADWAL GASAL'!P37)</f>
        <v>35</v>
      </c>
      <c r="K36" s="136" t="str">
        <f>IF('PROGRAM JADWAL GASAL'!Q37="","",'PROGRAM JADWAL GASAL'!Q37)</f>
        <v>MKU</v>
      </c>
      <c r="L36" s="138" t="str">
        <f>IF('PROGRAM JADWAL GASAL'!R37="","",'PROGRAM JADWAL GASAL'!R37)</f>
        <v>ONLINE</v>
      </c>
    </row>
    <row r="37" spans="1:12" ht="34.950000000000003" customHeight="1" x14ac:dyDescent="0.3">
      <c r="A37" s="275"/>
      <c r="B37" s="133">
        <f>IF('PROGRAM JADWAL GASAL'!C38="","",'PROGRAM JADWAL GASAL'!C38)</f>
        <v>0.4236111111111111</v>
      </c>
      <c r="C37" s="134" t="str">
        <f>IF('PROGRAM JADWAL GASAL'!D38="","",'PROGRAM JADWAL GASAL'!D38)</f>
        <v>s/d</v>
      </c>
      <c r="D37" s="135">
        <f>IF('PROGRAM JADWAL GASAL'!E38="","",'PROGRAM JADWAL GASAL'!E38)</f>
        <v>0.49305555555555558</v>
      </c>
      <c r="E37" s="136" t="str">
        <f>IF('PROGRAM JADWAL GASAL'!H38="","",'PROGRAM JADWAL GASAL'!H38)</f>
        <v>INF-55201-104</v>
      </c>
      <c r="F37" s="137" t="str">
        <f>IF('PROGRAM JADWAL GASAL'!I38="","",'PROGRAM JADWAL GASAL'!I38)</f>
        <v>Pengantar Teknik Informatika</v>
      </c>
      <c r="G37" s="138" t="str">
        <f>IF('PROGRAM JADWAL GASAL'!M38="","",'PROGRAM JADWAL GASAL'!M38)</f>
        <v>B</v>
      </c>
      <c r="H37" s="139">
        <f>IF('PROGRAM JADWAL GASAL'!N38="","",'PROGRAM JADWAL GASAL'!N38)</f>
        <v>1</v>
      </c>
      <c r="I37" s="139">
        <f>IF('PROGRAM JADWAL GASAL'!O38="","",'PROGRAM JADWAL GASAL'!O38)</f>
        <v>2</v>
      </c>
      <c r="J37" s="139">
        <f>IF('PROGRAM JADWAL GASAL'!P38="","",'PROGRAM JADWAL GASAL'!P38)</f>
        <v>35</v>
      </c>
      <c r="K37" s="136" t="str">
        <f>IF('PROGRAM JADWAL GASAL'!Q38="","",'PROGRAM JADWAL GASAL'!Q38)</f>
        <v>H. Hengky Anra, S.T., M.Kom</v>
      </c>
      <c r="L37" s="138" t="str">
        <f>IF('PROGRAM JADWAL GASAL'!R38="","",'PROGRAM JADWAL GASAL'!R38)</f>
        <v>ONLINE</v>
      </c>
    </row>
    <row r="38" spans="1:12" ht="34.950000000000003" customHeight="1" x14ac:dyDescent="0.3">
      <c r="A38" s="275"/>
      <c r="B38" s="143">
        <f>IF('PROGRAM JADWAL GASAL'!C39="","",'PROGRAM JADWAL GASAL'!C39)</f>
        <v>0.4236111111111111</v>
      </c>
      <c r="C38" s="144" t="str">
        <f>IF('PROGRAM JADWAL GASAL'!D39="","",'PROGRAM JADWAL GASAL'!D39)</f>
        <v>s/d</v>
      </c>
      <c r="D38" s="145">
        <f>IF('PROGRAM JADWAL GASAL'!E39="","",'PROGRAM JADWAL GASAL'!E39)</f>
        <v>0.49305555555555558</v>
      </c>
      <c r="E38" s="136" t="str">
        <f>IF('PROGRAM JADWAL GASAL'!H39="","",'PROGRAM JADWAL GASAL'!H39)</f>
        <v>INF-55201-205</v>
      </c>
      <c r="F38" s="137" t="str">
        <f>IF('PROGRAM JADWAL GASAL'!I39="","",'PROGRAM JADWAL GASAL'!I39)</f>
        <v>Jaringan  Komputer *</v>
      </c>
      <c r="G38" s="138" t="str">
        <f>IF('PROGRAM JADWAL GASAL'!M39="","",'PROGRAM JADWAL GASAL'!M39)</f>
        <v>C</v>
      </c>
      <c r="H38" s="139">
        <f>IF('PROGRAM JADWAL GASAL'!N39="","",'PROGRAM JADWAL GASAL'!N39)</f>
        <v>3</v>
      </c>
      <c r="I38" s="139">
        <f>IF('PROGRAM JADWAL GASAL'!O39="","",'PROGRAM JADWAL GASAL'!O39)</f>
        <v>4</v>
      </c>
      <c r="J38" s="139">
        <f>IF('PROGRAM JADWAL GASAL'!P39="","",'PROGRAM JADWAL GASAL'!P39)</f>
        <v>25</v>
      </c>
      <c r="K38" s="136" t="str">
        <f>IF('PROGRAM JADWAL GASAL'!Q39="","",'PROGRAM JADWAL GASAL'!Q39)</f>
        <v>M.Azhar Irwansyah, S.T.,M.Eng. / Haried Novriando, S.Kom, M.Eng</v>
      </c>
      <c r="L38" s="138" t="str">
        <f>IF('PROGRAM JADWAL GASAL'!R39="","",'PROGRAM JADWAL GASAL'!R39)</f>
        <v>ONLINE</v>
      </c>
    </row>
    <row r="39" spans="1:12" ht="34.950000000000003" customHeight="1" x14ac:dyDescent="0.3">
      <c r="A39" s="275"/>
      <c r="B39" s="133">
        <f>IF('PROGRAM JADWAL GASAL'!C40="","",'PROGRAM JADWAL GASAL'!C40)</f>
        <v>0.4236111111111111</v>
      </c>
      <c r="C39" s="134" t="str">
        <f>IF('PROGRAM JADWAL GASAL'!D40="","",'PROGRAM JADWAL GASAL'!D40)</f>
        <v>s/d</v>
      </c>
      <c r="D39" s="135">
        <f>IF('PROGRAM JADWAL GASAL'!E40="","",'PROGRAM JADWAL GASAL'!E40)</f>
        <v>0.49305555555555558</v>
      </c>
      <c r="E39" s="136" t="str">
        <f>IF('PROGRAM JADWAL GASAL'!H40="","",'PROGRAM JADWAL GASAL'!H40)</f>
        <v>INF-55201-310</v>
      </c>
      <c r="F39" s="137" t="str">
        <f>IF('PROGRAM JADWAL GASAL'!I40="","",'PROGRAM JADWAL GASAL'!I40)</f>
        <v>Penulisan Proposal  Tugas  Akhir  </v>
      </c>
      <c r="G39" s="138" t="str">
        <f>IF('PROGRAM JADWAL GASAL'!M40="","",'PROGRAM JADWAL GASAL'!M40)</f>
        <v>A</v>
      </c>
      <c r="H39" s="139">
        <f>IF('PROGRAM JADWAL GASAL'!N40="","",'PROGRAM JADWAL GASAL'!N40)</f>
        <v>5</v>
      </c>
      <c r="I39" s="139">
        <f>IF('PROGRAM JADWAL GASAL'!O40="","",'PROGRAM JADWAL GASAL'!O40)</f>
        <v>2</v>
      </c>
      <c r="J39" s="139">
        <f>IF('PROGRAM JADWAL GASAL'!P40="","",'PROGRAM JADWAL GASAL'!P40)</f>
        <v>20</v>
      </c>
      <c r="K39" s="136" t="str">
        <f>IF('PROGRAM JADWAL GASAL'!Q40="","",'PROGRAM JADWAL GASAL'!Q40)</f>
        <v>Eva Faja Ripanti, S.Kom, MMSI, Ph.D</v>
      </c>
      <c r="L39" s="138" t="str">
        <f>IF('PROGRAM JADWAL GASAL'!R40="","",'PROGRAM JADWAL GASAL'!R40)</f>
        <v>ONLINE</v>
      </c>
    </row>
    <row r="40" spans="1:12" ht="34.950000000000003" customHeight="1" x14ac:dyDescent="0.3">
      <c r="A40" s="275"/>
      <c r="B40" s="143">
        <f>IF('PROGRAM JADWAL GASAL'!C41="","",'PROGRAM JADWAL GASAL'!C41)</f>
        <v>0.4236111111111111</v>
      </c>
      <c r="C40" s="144" t="str">
        <f>IF('PROGRAM JADWAL GASAL'!D41="","",'PROGRAM JADWAL GASAL'!D41)</f>
        <v>s/d</v>
      </c>
      <c r="D40" s="145">
        <f>IF('PROGRAM JADWAL GASAL'!E41="","",'PROGRAM JADWAL GASAL'!E41)</f>
        <v>0.49305555555555558</v>
      </c>
      <c r="E40" s="136" t="str">
        <f>IF('PROGRAM JADWAL GASAL'!H41="","",'PROGRAM JADWAL GASAL'!H41)</f>
        <v>INF-55201-306</v>
      </c>
      <c r="F40" s="137" t="str">
        <f>IF('PROGRAM JADWAL GASAL'!I41="","",'PROGRAM JADWAL GASAL'!I41)</f>
        <v>Manajemen  Proyek  Perangkat  Lunak</v>
      </c>
      <c r="G40" s="138" t="str">
        <f>IF('PROGRAM JADWAL GASAL'!M41="","",'PROGRAM JADWAL GASAL'!M41)</f>
        <v>B</v>
      </c>
      <c r="H40" s="139">
        <f>IF('PROGRAM JADWAL GASAL'!N41="","",'PROGRAM JADWAL GASAL'!N41)</f>
        <v>5</v>
      </c>
      <c r="I40" s="139">
        <f>IF('PROGRAM JADWAL GASAL'!O41="","",'PROGRAM JADWAL GASAL'!O41)</f>
        <v>2</v>
      </c>
      <c r="J40" s="139">
        <f>IF('PROGRAM JADWAL GASAL'!P41="","",'PROGRAM JADWAL GASAL'!P41)</f>
        <v>20</v>
      </c>
      <c r="K40" s="136" t="str">
        <f>IF('PROGRAM JADWAL GASAL'!Q41="","",'PROGRAM JADWAL GASAL'!Q41)</f>
        <v>Anggi Perwitasari, S.T., M.T. / Desepta Isna Ulumi, S.Kom, M.Kom.</v>
      </c>
      <c r="L40" s="138" t="str">
        <f>IF('PROGRAM JADWAL GASAL'!R41="","",'PROGRAM JADWAL GASAL'!R41)</f>
        <v>ONLINE</v>
      </c>
    </row>
    <row r="41" spans="1:12" ht="34.950000000000003" customHeight="1" x14ac:dyDescent="0.3">
      <c r="A41" s="275"/>
      <c r="B41" s="133" t="str">
        <f>IF('PROGRAM JADWAL GASAL'!C42="","",'PROGRAM JADWAL GASAL'!C42)</f>
        <v/>
      </c>
      <c r="C41" s="134" t="str">
        <f>IF('PROGRAM JADWAL GASAL'!D42="","",'PROGRAM JADWAL GASAL'!D42)</f>
        <v/>
      </c>
      <c r="D41" s="135" t="str">
        <f>IF('PROGRAM JADWAL GASAL'!E42="","",'PROGRAM JADWAL GASAL'!E42)</f>
        <v/>
      </c>
      <c r="E41" s="136" t="str">
        <f>IF('PROGRAM JADWAL GASAL'!H42="","",'PROGRAM JADWAL GASAL'!H42)</f>
        <v/>
      </c>
      <c r="F41" s="137" t="str">
        <f>IF('PROGRAM JADWAL GASAL'!I42="","",'PROGRAM JADWAL GASAL'!I42)</f>
        <v/>
      </c>
      <c r="G41" s="138" t="str">
        <f>IF('PROGRAM JADWAL GASAL'!M42="","",'PROGRAM JADWAL GASAL'!M42)</f>
        <v/>
      </c>
      <c r="H41" s="139" t="str">
        <f>IF('PROGRAM JADWAL GASAL'!N42="","",'PROGRAM JADWAL GASAL'!N42)</f>
        <v/>
      </c>
      <c r="I41" s="139" t="str">
        <f>IF('PROGRAM JADWAL GASAL'!O42="","",'PROGRAM JADWAL GASAL'!O42)</f>
        <v/>
      </c>
      <c r="J41" s="139" t="str">
        <f>IF('PROGRAM JADWAL GASAL'!P42="","",'PROGRAM JADWAL GASAL'!P42)</f>
        <v/>
      </c>
      <c r="K41" s="136" t="str">
        <f>IF('PROGRAM JADWAL GASAL'!Q42="","",'PROGRAM JADWAL GASAL'!Q42)</f>
        <v/>
      </c>
      <c r="L41" s="138" t="str">
        <f>IF('PROGRAM JADWAL GASAL'!R42="","",'PROGRAM JADWAL GASAL'!R42)</f>
        <v/>
      </c>
    </row>
    <row r="42" spans="1:12" ht="34.950000000000003" customHeight="1" x14ac:dyDescent="0.3">
      <c r="A42" s="275"/>
      <c r="B42" s="143">
        <f>IF('PROGRAM JADWAL GASAL'!C43="","",'PROGRAM JADWAL GASAL'!C43)</f>
        <v>0.53125</v>
      </c>
      <c r="C42" s="144" t="str">
        <f>IF('PROGRAM JADWAL GASAL'!D43="","",'PROGRAM JADWAL GASAL'!D43)</f>
        <v>s/d</v>
      </c>
      <c r="D42" s="145">
        <f>IF('PROGRAM JADWAL GASAL'!E43="","",'PROGRAM JADWAL GASAL'!E43)</f>
        <v>0.60069444444444442</v>
      </c>
      <c r="E42" s="136" t="str">
        <f>IF('PROGRAM JADWAL GASAL'!H43="","",'PROGRAM JADWAL GASAL'!H43)</f>
        <v>INF-55201-104</v>
      </c>
      <c r="F42" s="137" t="str">
        <f>IF('PROGRAM JADWAL GASAL'!I43="","",'PROGRAM JADWAL GASAL'!I43)</f>
        <v>Pengantar Teknik Informatika</v>
      </c>
      <c r="G42" s="138" t="str">
        <f>IF('PROGRAM JADWAL GASAL'!M43="","",'PROGRAM JADWAL GASAL'!M43)</f>
        <v>A</v>
      </c>
      <c r="H42" s="139">
        <f>IF('PROGRAM JADWAL GASAL'!N43="","",'PROGRAM JADWAL GASAL'!N43)</f>
        <v>1</v>
      </c>
      <c r="I42" s="139">
        <f>IF('PROGRAM JADWAL GASAL'!O43="","",'PROGRAM JADWAL GASAL'!O43)</f>
        <v>2</v>
      </c>
      <c r="J42" s="139">
        <f>IF('PROGRAM JADWAL GASAL'!P43="","",'PROGRAM JADWAL GASAL'!P43)</f>
        <v>35</v>
      </c>
      <c r="K42" s="136" t="str">
        <f>IF('PROGRAM JADWAL GASAL'!Q43="","",'PROGRAM JADWAL GASAL'!Q43)</f>
        <v>H. Hengky Anra, S.T., M.Kom</v>
      </c>
      <c r="L42" s="138" t="str">
        <f>IF('PROGRAM JADWAL GASAL'!R43="","",'PROGRAM JADWAL GASAL'!R43)</f>
        <v>ONLINE</v>
      </c>
    </row>
    <row r="43" spans="1:12" ht="34.950000000000003" customHeight="1" x14ac:dyDescent="0.3">
      <c r="A43" s="275"/>
      <c r="B43" s="133">
        <f>IF('PROGRAM JADWAL GASAL'!C44="","",'PROGRAM JADWAL GASAL'!C44)</f>
        <v>0.53125</v>
      </c>
      <c r="C43" s="134" t="str">
        <f>IF('PROGRAM JADWAL GASAL'!D44="","",'PROGRAM JADWAL GASAL'!D44)</f>
        <v>s/d</v>
      </c>
      <c r="D43" s="135">
        <f>IF('PROGRAM JADWAL GASAL'!E44="","",'PROGRAM JADWAL GASAL'!E44)</f>
        <v>0.60069444444444442</v>
      </c>
      <c r="E43" s="136" t="str">
        <f>IF('PROGRAM JADWAL GASAL'!H44="","",'PROGRAM JADWAL GASAL'!H44)</f>
        <v>INF-55201-206</v>
      </c>
      <c r="F43" s="137" t="str">
        <f>IF('PROGRAM JADWAL GASAL'!I44="","",'PROGRAM JADWAL GASAL'!I44)</f>
        <v>Strategi Algoritma*</v>
      </c>
      <c r="G43" s="138" t="str">
        <f>IF('PROGRAM JADWAL GASAL'!M44="","",'PROGRAM JADWAL GASAL'!M44)</f>
        <v>B</v>
      </c>
      <c r="H43" s="139">
        <f>IF('PROGRAM JADWAL GASAL'!N44="","",'PROGRAM JADWAL GASAL'!N44)</f>
        <v>3</v>
      </c>
      <c r="I43" s="139">
        <f>IF('PROGRAM JADWAL GASAL'!O44="","",'PROGRAM JADWAL GASAL'!O44)</f>
        <v>4</v>
      </c>
      <c r="J43" s="139">
        <f>IF('PROGRAM JADWAL GASAL'!P44="","",'PROGRAM JADWAL GASAL'!P44)</f>
        <v>25</v>
      </c>
      <c r="K43" s="136" t="str">
        <f>IF('PROGRAM JADWAL GASAL'!Q44="","",'PROGRAM JADWAL GASAL'!Q44)</f>
        <v>Morteza Muthahhari, S.Kom., M.T.I / Fauzan Asrin, S.Kom, M. Kom.</v>
      </c>
      <c r="L43" s="138" t="str">
        <f>IF('PROGRAM JADWAL GASAL'!R44="","",'PROGRAM JADWAL GASAL'!R44)</f>
        <v>ONLINE</v>
      </c>
    </row>
    <row r="44" spans="1:12" ht="34.950000000000003" customHeight="1" x14ac:dyDescent="0.3">
      <c r="A44" s="275"/>
      <c r="B44" s="143">
        <f>IF('PROGRAM JADWAL GASAL'!C45="","",'PROGRAM JADWAL GASAL'!C45)</f>
        <v>0.53125</v>
      </c>
      <c r="C44" s="144" t="str">
        <f>IF('PROGRAM JADWAL GASAL'!D45="","",'PROGRAM JADWAL GASAL'!D45)</f>
        <v>s/d</v>
      </c>
      <c r="D44" s="145">
        <f>IF('PROGRAM JADWAL GASAL'!E45="","",'PROGRAM JADWAL GASAL'!E45)</f>
        <v>0.60069444444444442</v>
      </c>
      <c r="E44" s="136" t="str">
        <f>IF('PROGRAM JADWAL GASAL'!H45="","",'PROGRAM JADWAL GASAL'!H45)</f>
        <v>INF-55201-205</v>
      </c>
      <c r="F44" s="137" t="str">
        <f>IF('PROGRAM JADWAL GASAL'!I45="","",'PROGRAM JADWAL GASAL'!I45)</f>
        <v>Jaringan  Komputer *</v>
      </c>
      <c r="G44" s="138" t="str">
        <f>IF('PROGRAM JADWAL GASAL'!M45="","",'PROGRAM JADWAL GASAL'!M45)</f>
        <v>C</v>
      </c>
      <c r="H44" s="139">
        <f>IF('PROGRAM JADWAL GASAL'!N45="","",'PROGRAM JADWAL GASAL'!N45)</f>
        <v>3</v>
      </c>
      <c r="I44" s="139">
        <f>IF('PROGRAM JADWAL GASAL'!O45="","",'PROGRAM JADWAL GASAL'!O45)</f>
        <v>4</v>
      </c>
      <c r="J44" s="139">
        <f>IF('PROGRAM JADWAL GASAL'!P45="","",'PROGRAM JADWAL GASAL'!P45)</f>
        <v>25</v>
      </c>
      <c r="K44" s="136" t="str">
        <f>IF('PROGRAM JADWAL GASAL'!Q45="","",'PROGRAM JADWAL GASAL'!Q45)</f>
        <v>M.Azhar Irwansyah, S.T.,M.Eng. / Haried Novriando, S.Kom, M.Eng</v>
      </c>
      <c r="L44" s="138" t="str">
        <f>IF('PROGRAM JADWAL GASAL'!R45="","",'PROGRAM JADWAL GASAL'!R45)</f>
        <v>ONLINE</v>
      </c>
    </row>
    <row r="45" spans="1:12" ht="34.950000000000003" customHeight="1" x14ac:dyDescent="0.3">
      <c r="A45" s="275"/>
      <c r="B45" s="133">
        <f>IF('PROGRAM JADWAL GASAL'!C46="","",'PROGRAM JADWAL GASAL'!C46)</f>
        <v>0.53125</v>
      </c>
      <c r="C45" s="134" t="str">
        <f>IF('PROGRAM JADWAL GASAL'!D46="","",'PROGRAM JADWAL GASAL'!D46)</f>
        <v>s/d</v>
      </c>
      <c r="D45" s="135">
        <f>IF('PROGRAM JADWAL GASAL'!E46="","",'PROGRAM JADWAL GASAL'!E46)</f>
        <v>0.60069444444444442</v>
      </c>
      <c r="E45" s="136" t="str">
        <f>IF('PROGRAM JADWAL GASAL'!H46="","",'PROGRAM JADWAL GASAL'!H46)</f>
        <v>INF-55201-306</v>
      </c>
      <c r="F45" s="137" t="str">
        <f>IF('PROGRAM JADWAL GASAL'!I46="","",'PROGRAM JADWAL GASAL'!I46)</f>
        <v>Manajemen  Proyek  Perangkat  Lunak</v>
      </c>
      <c r="G45" s="138" t="str">
        <f>IF('PROGRAM JADWAL GASAL'!M46="","",'PROGRAM JADWAL GASAL'!M46)</f>
        <v>A</v>
      </c>
      <c r="H45" s="139">
        <f>IF('PROGRAM JADWAL GASAL'!N46="","",'PROGRAM JADWAL GASAL'!N46)</f>
        <v>5</v>
      </c>
      <c r="I45" s="139">
        <f>IF('PROGRAM JADWAL GASAL'!O46="","",'PROGRAM JADWAL GASAL'!O46)</f>
        <v>2</v>
      </c>
      <c r="J45" s="139">
        <f>IF('PROGRAM JADWAL GASAL'!P46="","",'PROGRAM JADWAL GASAL'!P46)</f>
        <v>20</v>
      </c>
      <c r="K45" s="136" t="str">
        <f>IF('PROGRAM JADWAL GASAL'!Q46="","",'PROGRAM JADWAL GASAL'!Q46)</f>
        <v>Anggi Perwitasari, S.T., M.T. / Desepta Isna Ulumi, S.Kom, M.Kom.</v>
      </c>
      <c r="L45" s="138" t="str">
        <f>IF('PROGRAM JADWAL GASAL'!R46="","",'PROGRAM JADWAL GASAL'!R46)</f>
        <v>ONLINE</v>
      </c>
    </row>
    <row r="46" spans="1:12" ht="34.950000000000003" customHeight="1" x14ac:dyDescent="0.3">
      <c r="A46" s="275"/>
      <c r="B46" s="143">
        <f>IF('PROGRAM JADWAL GASAL'!C47="","",'PROGRAM JADWAL GASAL'!C47)</f>
        <v>0.53125</v>
      </c>
      <c r="C46" s="144" t="str">
        <f>IF('PROGRAM JADWAL GASAL'!D47="","",'PROGRAM JADWAL GASAL'!D47)</f>
        <v>s/d</v>
      </c>
      <c r="D46" s="145">
        <f>IF('PROGRAM JADWAL GASAL'!E47="","",'PROGRAM JADWAL GASAL'!E47)</f>
        <v>0.60069444444444442</v>
      </c>
      <c r="E46" s="136" t="str">
        <f>IF('PROGRAM JADWAL GASAL'!H47="","",'PROGRAM JADWAL GASAL'!H47)</f>
        <v>INF-55201-311</v>
      </c>
      <c r="F46" s="137" t="str">
        <f>IF('PROGRAM JADWAL GASAL'!I47="","",'PROGRAM JADWAL GASAL'!I47)</f>
        <v>Riset Operasi</v>
      </c>
      <c r="G46" s="138" t="str">
        <f>IF('PROGRAM JADWAL GASAL'!M47="","",'PROGRAM JADWAL GASAL'!M47)</f>
        <v>C</v>
      </c>
      <c r="H46" s="139">
        <f>IF('PROGRAM JADWAL GASAL'!N47="","",'PROGRAM JADWAL GASAL'!N47)</f>
        <v>5</v>
      </c>
      <c r="I46" s="139">
        <f>IF('PROGRAM JADWAL GASAL'!O47="","",'PROGRAM JADWAL GASAL'!O47)</f>
        <v>2</v>
      </c>
      <c r="J46" s="139">
        <f>IF('PROGRAM JADWAL GASAL'!P47="","",'PROGRAM JADWAL GASAL'!P47)</f>
        <v>20</v>
      </c>
      <c r="K46" s="136" t="str">
        <f>IF('PROGRAM JADWAL GASAL'!Q47="","",'PROGRAM JADWAL GASAL'!Q47)</f>
        <v>Eva Faja Ripanti, S.Kom, MMSI, Ph.D / Khairul Hafidh, S.T., M.Kom.</v>
      </c>
      <c r="L46" s="138" t="str">
        <f>IF('PROGRAM JADWAL GASAL'!R47="","",'PROGRAM JADWAL GASAL'!R47)</f>
        <v>ONLINE</v>
      </c>
    </row>
    <row r="47" spans="1:12" ht="34.950000000000003" customHeight="1" x14ac:dyDescent="0.3">
      <c r="A47" s="275"/>
      <c r="B47" s="133" t="str">
        <f>IF('PROGRAM JADWAL GASAL'!C48="","",'PROGRAM JADWAL GASAL'!C48)</f>
        <v/>
      </c>
      <c r="C47" s="134" t="str">
        <f>IF('PROGRAM JADWAL GASAL'!D48="","",'PROGRAM JADWAL GASAL'!D48)</f>
        <v/>
      </c>
      <c r="D47" s="135" t="str">
        <f>IF('PROGRAM JADWAL GASAL'!E48="","",'PROGRAM JADWAL GASAL'!E48)</f>
        <v/>
      </c>
      <c r="E47" s="136" t="str">
        <f>IF('PROGRAM JADWAL GASAL'!H48="","",'PROGRAM JADWAL GASAL'!H48)</f>
        <v/>
      </c>
      <c r="F47" s="137" t="str">
        <f>IF('PROGRAM JADWAL GASAL'!I48="","",'PROGRAM JADWAL GASAL'!I48)</f>
        <v/>
      </c>
      <c r="G47" s="138" t="str">
        <f>IF('PROGRAM JADWAL GASAL'!M48="","",'PROGRAM JADWAL GASAL'!M48)</f>
        <v/>
      </c>
      <c r="H47" s="139" t="str">
        <f>IF('PROGRAM JADWAL GASAL'!N48="","",'PROGRAM JADWAL GASAL'!N48)</f>
        <v/>
      </c>
      <c r="I47" s="139" t="str">
        <f>IF('PROGRAM JADWAL GASAL'!O48="","",'PROGRAM JADWAL GASAL'!O48)</f>
        <v/>
      </c>
      <c r="J47" s="139" t="str">
        <f>IF('PROGRAM JADWAL GASAL'!P48="","",'PROGRAM JADWAL GASAL'!P48)</f>
        <v/>
      </c>
      <c r="K47" s="136" t="str">
        <f>IF('PROGRAM JADWAL GASAL'!Q48="","",'PROGRAM JADWAL GASAL'!Q48)</f>
        <v/>
      </c>
      <c r="L47" s="138" t="str">
        <f>IF('PROGRAM JADWAL GASAL'!R48="","",'PROGRAM JADWAL GASAL'!R48)</f>
        <v/>
      </c>
    </row>
    <row r="48" spans="1:12" ht="34.950000000000003" customHeight="1" x14ac:dyDescent="0.3">
      <c r="A48" s="275"/>
      <c r="B48" s="143">
        <f>IF('PROGRAM JADWAL GASAL'!C49="","",'PROGRAM JADWAL GASAL'!C49)</f>
        <v>0.60416666666666663</v>
      </c>
      <c r="C48" s="144" t="str">
        <f>IF('PROGRAM JADWAL GASAL'!D49="","",'PROGRAM JADWAL GASAL'!D49)</f>
        <v>s/d</v>
      </c>
      <c r="D48" s="145">
        <f>IF('PROGRAM JADWAL GASAL'!E49="","",'PROGRAM JADWAL GASAL'!E49)</f>
        <v>0.70833333333333326</v>
      </c>
      <c r="E48" s="136" t="str">
        <f>IF('PROGRAM JADWAL GASAL'!H49="","",'PROGRAM JADWAL GASAL'!H49)</f>
        <v>INF-55201-102</v>
      </c>
      <c r="F48" s="137" t="str">
        <f>IF('PROGRAM JADWAL GASAL'!I49="","",'PROGRAM JADWAL GASAL'!I49)</f>
        <v>Logika Informatika</v>
      </c>
      <c r="G48" s="138" t="str">
        <f>IF('PROGRAM JADWAL GASAL'!M49="","",'PROGRAM JADWAL GASAL'!M49)</f>
        <v>C</v>
      </c>
      <c r="H48" s="139">
        <f>IF('PROGRAM JADWAL GASAL'!N49="","",'PROGRAM JADWAL GASAL'!N49)</f>
        <v>1</v>
      </c>
      <c r="I48" s="139">
        <f>IF('PROGRAM JADWAL GASAL'!O49="","",'PROGRAM JADWAL GASAL'!O49)</f>
        <v>3</v>
      </c>
      <c r="J48" s="139">
        <f>IF('PROGRAM JADWAL GASAL'!P49="","",'PROGRAM JADWAL GASAL'!P49)</f>
        <v>35</v>
      </c>
      <c r="K48" s="136" t="str">
        <f>IF('PROGRAM JADWAL GASAL'!Q49="","",'PROGRAM JADWAL GASAL'!Q49)</f>
        <v>Tursina ST, M.Cs / Niken Candraningrum, S.T., M.Cs.</v>
      </c>
      <c r="L48" s="138" t="str">
        <f>IF('PROGRAM JADWAL GASAL'!R49="","",'PROGRAM JADWAL GASAL'!R49)</f>
        <v>ONLINE</v>
      </c>
    </row>
    <row r="49" spans="1:12" ht="34.950000000000003" customHeight="1" x14ac:dyDescent="0.3">
      <c r="A49" s="275"/>
      <c r="B49" s="133">
        <f>IF('PROGRAM JADWAL GASAL'!C50="","",'PROGRAM JADWAL GASAL'!C50)</f>
        <v>0.60416666666666663</v>
      </c>
      <c r="C49" s="134" t="str">
        <f>IF('PROGRAM JADWAL GASAL'!D50="","",'PROGRAM JADWAL GASAL'!D50)</f>
        <v>s/d</v>
      </c>
      <c r="D49" s="135">
        <f>IF('PROGRAM JADWAL GASAL'!E50="","",'PROGRAM JADWAL GASAL'!E50)</f>
        <v>0.70833333333333326</v>
      </c>
      <c r="E49" s="146" t="str">
        <f>IF('PROGRAM JADWAL GASAL'!H50="","",'PROGRAM JADWAL GASAL'!H50)</f>
        <v>INF-55201-203</v>
      </c>
      <c r="F49" s="137" t="str">
        <f>IF('PROGRAM JADWAL GASAL'!I50="","",'PROGRAM JADWAL GASAL'!I50)</f>
        <v>Matematika  Diskrit  </v>
      </c>
      <c r="G49" s="138" t="str">
        <f>IF('PROGRAM JADWAL GASAL'!M50="","",'PROGRAM JADWAL GASAL'!M50)</f>
        <v>A</v>
      </c>
      <c r="H49" s="139">
        <f>IF('PROGRAM JADWAL GASAL'!N50="","",'PROGRAM JADWAL GASAL'!N50)</f>
        <v>3</v>
      </c>
      <c r="I49" s="139">
        <f>IF('PROGRAM JADWAL GASAL'!O50="","",'PROGRAM JADWAL GASAL'!O50)</f>
        <v>3</v>
      </c>
      <c r="J49" s="139">
        <f>IF('PROGRAM JADWAL GASAL'!P50="","",'PROGRAM JADWAL GASAL'!P50)</f>
        <v>25</v>
      </c>
      <c r="K49" s="136" t="str">
        <f>IF('PROGRAM JADWAL GASAL'!Q50="","",'PROGRAM JADWAL GASAL'!Q50)</f>
        <v>Yulianti,S.Kom, MMSI / Khairul Hafidh, S.T., M.Kom.</v>
      </c>
      <c r="L49" s="138" t="str">
        <f>IF('PROGRAM JADWAL GASAL'!R50="","",'PROGRAM JADWAL GASAL'!R50)</f>
        <v>ONLINE</v>
      </c>
    </row>
    <row r="50" spans="1:12" ht="34.950000000000003" customHeight="1" x14ac:dyDescent="0.3">
      <c r="A50" s="275"/>
      <c r="B50" s="143">
        <f>IF('PROGRAM JADWAL GASAL'!C51="","",'PROGRAM JADWAL GASAL'!C51)</f>
        <v>0.60416666666666663</v>
      </c>
      <c r="C50" s="144" t="str">
        <f>IF('PROGRAM JADWAL GASAL'!D51="","",'PROGRAM JADWAL GASAL'!D51)</f>
        <v>s/d</v>
      </c>
      <c r="D50" s="145">
        <f>IF('PROGRAM JADWAL GASAL'!E51="","",'PROGRAM JADWAL GASAL'!E51)</f>
        <v>0.70833333333333326</v>
      </c>
      <c r="E50" s="136" t="str">
        <f>IF('PROGRAM JADWAL GASAL'!H51="","",'PROGRAM JADWAL GASAL'!H51)</f>
        <v>INF-55201-303</v>
      </c>
      <c r="F50" s="137" t="str">
        <f>IF('PROGRAM JADWAL GASAL'!I51="","",'PROGRAM JADWAL GASAL'!I51)</f>
        <v>Pemrograman Jaringan *</v>
      </c>
      <c r="G50" s="138" t="str">
        <f>IF('PROGRAM JADWAL GASAL'!M51="","",'PROGRAM JADWAL GASAL'!M51)</f>
        <v>B</v>
      </c>
      <c r="H50" s="139">
        <f>IF('PROGRAM JADWAL GASAL'!N51="","",'PROGRAM JADWAL GASAL'!N51)</f>
        <v>5</v>
      </c>
      <c r="I50" s="139">
        <f>IF('PROGRAM JADWAL GASAL'!O51="","",'PROGRAM JADWAL GASAL'!O51)</f>
        <v>3</v>
      </c>
      <c r="J50" s="139">
        <f>IF('PROGRAM JADWAL GASAL'!P51="","",'PROGRAM JADWAL GASAL'!P51)</f>
        <v>25</v>
      </c>
      <c r="K50" s="136" t="str">
        <f>IF('PROGRAM JADWAL GASAL'!Q51="","",'PROGRAM JADWAL GASAL'!Q51)</f>
        <v>Heri Priyanto,S.T., M.T.</v>
      </c>
      <c r="L50" s="138" t="str">
        <f>IF('PROGRAM JADWAL GASAL'!R51="","",'PROGRAM JADWAL GASAL'!R51)</f>
        <v>ONLINE</v>
      </c>
    </row>
    <row r="51" spans="1:12" ht="34.950000000000003" customHeight="1" x14ac:dyDescent="0.3">
      <c r="A51" s="275"/>
      <c r="B51" s="133">
        <f>IF('PROGRAM JADWAL GASAL'!C52="","",'PROGRAM JADWAL GASAL'!C52)</f>
        <v>0.60416666666666663</v>
      </c>
      <c r="C51" s="134" t="str">
        <f>IF('PROGRAM JADWAL GASAL'!D52="","",'PROGRAM JADWAL GASAL'!D52)</f>
        <v>s/d</v>
      </c>
      <c r="D51" s="135">
        <f>IF('PROGRAM JADWAL GASAL'!E52="","",'PROGRAM JADWAL GASAL'!E52)</f>
        <v>0.70833333333333326</v>
      </c>
      <c r="E51" s="146" t="str">
        <f>IF('PROGRAM JADWAL GASAL'!H52="","",'PROGRAM JADWAL GASAL'!H52)</f>
        <v>INF-55201-304</v>
      </c>
      <c r="F51" s="137" t="str">
        <f>IF('PROGRAM JADWAL GASAL'!I52="","",'PROGRAM JADWAL GASAL'!I52)</f>
        <v>Sistem Tertanam*</v>
      </c>
      <c r="G51" s="138" t="str">
        <f>IF('PROGRAM JADWAL GASAL'!M52="","",'PROGRAM JADWAL GASAL'!M52)</f>
        <v>D</v>
      </c>
      <c r="H51" s="139">
        <f>IF('PROGRAM JADWAL GASAL'!N52="","",'PROGRAM JADWAL GASAL'!N52)</f>
        <v>5</v>
      </c>
      <c r="I51" s="139">
        <f>IF('PROGRAM JADWAL GASAL'!O52="","",'PROGRAM JADWAL GASAL'!O52)</f>
        <v>3</v>
      </c>
      <c r="J51" s="139">
        <f>IF('PROGRAM JADWAL GASAL'!P52="","",'PROGRAM JADWAL GASAL'!P52)</f>
        <v>20</v>
      </c>
      <c r="K51" s="136" t="str">
        <f>IF('PROGRAM JADWAL GASAL'!Q52="","",'PROGRAM JADWAL GASAL'!Q52)</f>
        <v>Hafiz Muhardi, S.T., M.Kom / Alfian Abdul Jalid, S.Kom., M.Cs.</v>
      </c>
      <c r="L51" s="138" t="str">
        <f>IF('PROGRAM JADWAL GASAL'!R52="","",'PROGRAM JADWAL GASAL'!R52)</f>
        <v>ONLINE</v>
      </c>
    </row>
    <row r="52" spans="1:12" ht="34.950000000000003" customHeight="1" x14ac:dyDescent="0.3">
      <c r="A52" s="275"/>
      <c r="B52" s="143">
        <f>IF('PROGRAM JADWAL GASAL'!C53="","",'PROGRAM JADWAL GASAL'!C53)</f>
        <v>0.60416666666666663</v>
      </c>
      <c r="C52" s="144" t="str">
        <f>IF('PROGRAM JADWAL GASAL'!D53="","",'PROGRAM JADWAL GASAL'!D53)</f>
        <v>s/d</v>
      </c>
      <c r="D52" s="145">
        <f>IF('PROGRAM JADWAL GASAL'!E53="","",'PROGRAM JADWAL GASAL'!E53)</f>
        <v>0.70833333333333326</v>
      </c>
      <c r="E52" s="136" t="str">
        <f>IF('PROGRAM JADWAL GASAL'!H53="","",'PROGRAM JADWAL GASAL'!H53)</f>
        <v>INF­55201­523</v>
      </c>
      <c r="F52" s="137" t="str">
        <f>IF('PROGRAM JADWAL GASAL'!I53="","",'PROGRAM JADWAL GASAL'!I53)</f>
        <v xml:space="preserve">Komputasi  Awan  </v>
      </c>
      <c r="G52" s="138" t="str">
        <f>IF('PROGRAM JADWAL GASAL'!M53="","",'PROGRAM JADWAL GASAL'!M53)</f>
        <v>A</v>
      </c>
      <c r="H52" s="139">
        <f>IF('PROGRAM JADWAL GASAL'!N53="","",'PROGRAM JADWAL GASAL'!N53)</f>
        <v>7</v>
      </c>
      <c r="I52" s="139">
        <f>IF('PROGRAM JADWAL GASAL'!O53="","",'PROGRAM JADWAL GASAL'!O53)</f>
        <v>3</v>
      </c>
      <c r="J52" s="139">
        <f>IF('PROGRAM JADWAL GASAL'!P53="","",'PROGRAM JADWAL GASAL'!P53)</f>
        <v>20</v>
      </c>
      <c r="K52" s="136" t="str">
        <f>IF('PROGRAM JADWAL GASAL'!Q53="","",'PROGRAM JADWAL GASAL'!Q53)</f>
        <v>Anggi Srimurdianti, S.T., M.T.</v>
      </c>
      <c r="L52" s="138" t="str">
        <f>IF('PROGRAM JADWAL GASAL'!R53="","",'PROGRAM JADWAL GASAL'!R53)</f>
        <v>ONLINE</v>
      </c>
    </row>
    <row r="53" spans="1:12" ht="34.799999999999997" customHeight="1" x14ac:dyDescent="0.3">
      <c r="A53" s="131"/>
      <c r="B53" s="147" t="str">
        <f>IF('PROGRAM JADWAL GASAL'!C54="","",'PROGRAM JADWAL GASAL'!C54)</f>
        <v/>
      </c>
      <c r="C53" s="148" t="str">
        <f>IF('PROGRAM JADWAL GASAL'!D54="","",'PROGRAM JADWAL GASAL'!D54)</f>
        <v/>
      </c>
      <c r="D53" s="149" t="str">
        <f>IF('PROGRAM JADWAL GASAL'!E54="","",'PROGRAM JADWAL GASAL'!E54)</f>
        <v/>
      </c>
      <c r="E53" s="146" t="str">
        <f>IF('PROGRAM JADWAL GASAL'!H54="","",'PROGRAM JADWAL GASAL'!H54)</f>
        <v/>
      </c>
      <c r="F53" s="137" t="str">
        <f>IF('PROGRAM JADWAL GASAL'!I54="","",'PROGRAM JADWAL GASAL'!I54)</f>
        <v/>
      </c>
      <c r="G53" s="138" t="str">
        <f>IF('PROGRAM JADWAL GASAL'!M54="","",'PROGRAM JADWAL GASAL'!M54)</f>
        <v/>
      </c>
      <c r="H53" s="139" t="str">
        <f>IF('PROGRAM JADWAL GASAL'!N54="","",'PROGRAM JADWAL GASAL'!N54)</f>
        <v/>
      </c>
      <c r="I53" s="139" t="str">
        <f>IF('PROGRAM JADWAL GASAL'!O54="","",'PROGRAM JADWAL GASAL'!O54)</f>
        <v/>
      </c>
      <c r="J53" s="139" t="str">
        <f>IF('PROGRAM JADWAL GASAL'!P54="","",'PROGRAM JADWAL GASAL'!P54)</f>
        <v/>
      </c>
      <c r="K53" s="136" t="str">
        <f>IF('PROGRAM JADWAL GASAL'!Q54="","",'PROGRAM JADWAL GASAL'!Q54)</f>
        <v/>
      </c>
      <c r="L53" s="138" t="str">
        <f>IF('PROGRAM JADWAL GASAL'!R54="","",'PROGRAM JADWAL GASAL'!R54)</f>
        <v/>
      </c>
    </row>
    <row r="54" spans="1:12" ht="34.950000000000003" customHeight="1" x14ac:dyDescent="0.3">
      <c r="A54" s="275" t="s">
        <v>327</v>
      </c>
      <c r="B54" s="133">
        <f>IF('PROGRAM JADWAL GASAL'!C55="","",'PROGRAM JADWAL GASAL'!C55)</f>
        <v>0.3125</v>
      </c>
      <c r="C54" s="134" t="str">
        <f>IF('PROGRAM JADWAL GASAL'!D55="","",'PROGRAM JADWAL GASAL'!D55)</f>
        <v>s/d</v>
      </c>
      <c r="D54" s="135">
        <f>IF('PROGRAM JADWAL GASAL'!E55="","",'PROGRAM JADWAL GASAL'!E55)</f>
        <v>0.41666666666666669</v>
      </c>
      <c r="E54" s="136" t="str">
        <f>IF('PROGRAM JADWAL GASAL'!H55="","",'PROGRAM JADWAL GASAL'!H55)</f>
        <v>UMG-55201-105</v>
      </c>
      <c r="F54" s="137" t="str">
        <f>IF('PROGRAM JADWAL GASAL'!I55="","",'PROGRAM JADWAL GASAL'!I55)</f>
        <v>Pendidikan Agama</v>
      </c>
      <c r="G54" s="138" t="str">
        <f>IF('PROGRAM JADWAL GASAL'!M55="","",'PROGRAM JADWAL GASAL'!M55)</f>
        <v>A</v>
      </c>
      <c r="H54" s="139">
        <f>IF('PROGRAM JADWAL GASAL'!N55="","",'PROGRAM JADWAL GASAL'!N55)</f>
        <v>1</v>
      </c>
      <c r="I54" s="139">
        <f>IF('PROGRAM JADWAL GASAL'!O55="","",'PROGRAM JADWAL GASAL'!O55)</f>
        <v>3</v>
      </c>
      <c r="J54" s="139">
        <f>IF('PROGRAM JADWAL GASAL'!P55="","",'PROGRAM JADWAL GASAL'!P55)</f>
        <v>35</v>
      </c>
      <c r="K54" s="136" t="str">
        <f>IF('PROGRAM JADWAL GASAL'!Q55="","",'PROGRAM JADWAL GASAL'!Q55)</f>
        <v>MKU</v>
      </c>
      <c r="L54" s="138" t="str">
        <f>IF('PROGRAM JADWAL GASAL'!R55="","",'PROGRAM JADWAL GASAL'!R55)</f>
        <v>ONLINE</v>
      </c>
    </row>
    <row r="55" spans="1:12" ht="34.950000000000003" customHeight="1" x14ac:dyDescent="0.3">
      <c r="A55" s="275"/>
      <c r="B55" s="143">
        <f>IF('PROGRAM JADWAL GASAL'!C56="","",'PROGRAM JADWAL GASAL'!C56)</f>
        <v>0.3125</v>
      </c>
      <c r="C55" s="144" t="str">
        <f>IF('PROGRAM JADWAL GASAL'!D56="","",'PROGRAM JADWAL GASAL'!D56)</f>
        <v>s/d</v>
      </c>
      <c r="D55" s="145">
        <f>IF('PROGRAM JADWAL GASAL'!E56="","",'PROGRAM JADWAL GASAL'!E56)</f>
        <v>0.41666666666666669</v>
      </c>
      <c r="E55" s="136" t="str">
        <f>IF('PROGRAM JADWAL GASAL'!H56="","",'PROGRAM JADWAL GASAL'!H56)</f>
        <v>UMG-55201-105</v>
      </c>
      <c r="F55" s="137" t="str">
        <f>IF('PROGRAM JADWAL GASAL'!I56="","",'PROGRAM JADWAL GASAL'!I56)</f>
        <v>Pendidikan Agama</v>
      </c>
      <c r="G55" s="138" t="str">
        <f>IF('PROGRAM JADWAL GASAL'!M56="","",'PROGRAM JADWAL GASAL'!M56)</f>
        <v>B</v>
      </c>
      <c r="H55" s="139">
        <f>IF('PROGRAM JADWAL GASAL'!N56="","",'PROGRAM JADWAL GASAL'!N56)</f>
        <v>1</v>
      </c>
      <c r="I55" s="139">
        <f>IF('PROGRAM JADWAL GASAL'!O56="","",'PROGRAM JADWAL GASAL'!O56)</f>
        <v>3</v>
      </c>
      <c r="J55" s="139">
        <f>IF('PROGRAM JADWAL GASAL'!P56="","",'PROGRAM JADWAL GASAL'!P56)</f>
        <v>35</v>
      </c>
      <c r="K55" s="136" t="str">
        <f>IF('PROGRAM JADWAL GASAL'!Q56="","",'PROGRAM JADWAL GASAL'!Q56)</f>
        <v>MKU</v>
      </c>
      <c r="L55" s="138" t="str">
        <f>IF('PROGRAM JADWAL GASAL'!R56="","",'PROGRAM JADWAL GASAL'!R56)</f>
        <v>ONLINE</v>
      </c>
    </row>
    <row r="56" spans="1:12" ht="34.950000000000003" customHeight="1" x14ac:dyDescent="0.3">
      <c r="A56" s="275"/>
      <c r="B56" s="133">
        <f>IF('PROGRAM JADWAL GASAL'!C57="","",'PROGRAM JADWAL GASAL'!C57)</f>
        <v>0.3125</v>
      </c>
      <c r="C56" s="134" t="str">
        <f>IF('PROGRAM JADWAL GASAL'!D57="","",'PROGRAM JADWAL GASAL'!D57)</f>
        <v>s/d</v>
      </c>
      <c r="D56" s="135">
        <f>IF('PROGRAM JADWAL GASAL'!E57="","",'PROGRAM JADWAL GASAL'!E57)</f>
        <v>0.41666666666666669</v>
      </c>
      <c r="E56" s="136" t="str">
        <f>IF('PROGRAM JADWAL GASAL'!H57="","",'PROGRAM JADWAL GASAL'!H57)</f>
        <v>INF-55201-204</v>
      </c>
      <c r="F56" s="137" t="str">
        <f>IF('PROGRAM JADWAL GASAL'!I57="","",'PROGRAM JADWAL GASAL'!I57)</f>
        <v>Metode  Numerik*</v>
      </c>
      <c r="G56" s="138" t="str">
        <f>IF('PROGRAM JADWAL GASAL'!M57="","",'PROGRAM JADWAL GASAL'!M57)</f>
        <v>C</v>
      </c>
      <c r="H56" s="139">
        <f>IF('PROGRAM JADWAL GASAL'!N57="","",'PROGRAM JADWAL GASAL'!N57)</f>
        <v>3</v>
      </c>
      <c r="I56" s="139">
        <f>IF('PROGRAM JADWAL GASAL'!O57="","",'PROGRAM JADWAL GASAL'!O57)</f>
        <v>3</v>
      </c>
      <c r="J56" s="139">
        <f>IF('PROGRAM JADWAL GASAL'!P57="","",'PROGRAM JADWAL GASAL'!P57)</f>
        <v>25</v>
      </c>
      <c r="K56" s="136" t="str">
        <f>IF('PROGRAM JADWAL GASAL'!Q57="","",'PROGRAM JADWAL GASAL'!Q57)</f>
        <v>Helen Sastypratiwi, S.T., M.Eng</v>
      </c>
      <c r="L56" s="138" t="str">
        <f>IF('PROGRAM JADWAL GASAL'!R57="","",'PROGRAM JADWAL GASAL'!R57)</f>
        <v>ONLINE</v>
      </c>
    </row>
    <row r="57" spans="1:12" ht="34.950000000000003" customHeight="1" x14ac:dyDescent="0.3">
      <c r="A57" s="275"/>
      <c r="B57" s="143">
        <f>IF('PROGRAM JADWAL GASAL'!C58="","",'PROGRAM JADWAL GASAL'!C58)</f>
        <v>0.3125</v>
      </c>
      <c r="C57" s="144" t="str">
        <f>IF('PROGRAM JADWAL GASAL'!D58="","",'PROGRAM JADWAL GASAL'!D58)</f>
        <v>s/d</v>
      </c>
      <c r="D57" s="145">
        <f>IF('PROGRAM JADWAL GASAL'!E58="","",'PROGRAM JADWAL GASAL'!E58)</f>
        <v>0.41666666666666669</v>
      </c>
      <c r="E57" s="150" t="str">
        <f>IF('PROGRAM JADWAL GASAL'!H58="","",'PROGRAM JADWAL GASAL'!H58)</f>
        <v>INF-55201-305</v>
      </c>
      <c r="F57" s="137" t="str">
        <f>IF('PROGRAM JADWAL GASAL'!I58="","",'PROGRAM JADWAL GASAL'!I58)</f>
        <v>Kecerdasan Buatan</v>
      </c>
      <c r="G57" s="138" t="str">
        <f>IF('PROGRAM JADWAL GASAL'!M58="","",'PROGRAM JADWAL GASAL'!M58)</f>
        <v>D</v>
      </c>
      <c r="H57" s="139">
        <f>IF('PROGRAM JADWAL GASAL'!N58="","",'PROGRAM JADWAL GASAL'!N58)</f>
        <v>5</v>
      </c>
      <c r="I57" s="139">
        <f>IF('PROGRAM JADWAL GASAL'!O58="","",'PROGRAM JADWAL GASAL'!O58)</f>
        <v>3</v>
      </c>
      <c r="J57" s="139">
        <f>IF('PROGRAM JADWAL GASAL'!P58="","",'PROGRAM JADWAL GASAL'!P58)</f>
        <v>20</v>
      </c>
      <c r="K57" s="136" t="str">
        <f>IF('PROGRAM JADWAL GASAL'!Q58="","",'PROGRAM JADWAL GASAL'!Q58)</f>
        <v>Tursina ST, M.Cs / Rina Septiriana, S.T., M.Cs.</v>
      </c>
      <c r="L57" s="138" t="str">
        <f>IF('PROGRAM JADWAL GASAL'!R58="","",'PROGRAM JADWAL GASAL'!R58)</f>
        <v>ONLINE</v>
      </c>
    </row>
    <row r="58" spans="1:12" ht="34.950000000000003" customHeight="1" x14ac:dyDescent="0.3">
      <c r="A58" s="275"/>
      <c r="B58" s="133">
        <f>IF('PROGRAM JADWAL GASAL'!C59="","",'PROGRAM JADWAL GASAL'!C59)</f>
        <v>0.3125</v>
      </c>
      <c r="C58" s="134" t="str">
        <f>IF('PROGRAM JADWAL GASAL'!D59="","",'PROGRAM JADWAL GASAL'!D59)</f>
        <v>s/d</v>
      </c>
      <c r="D58" s="135">
        <f>IF('PROGRAM JADWAL GASAL'!E59="","",'PROGRAM JADWAL GASAL'!E59)</f>
        <v>0.41666666666666669</v>
      </c>
      <c r="E58" s="136" t="str">
        <f>IF('PROGRAM JADWAL GASAL'!H59="","",'PROGRAM JADWAL GASAL'!H59)</f>
        <v>INF-55201-401</v>
      </c>
      <c r="F58" s="137" t="str">
        <f>IF('PROGRAM JADWAL GASAL'!I59="","",'PROGRAM JADWAL GASAL'!I59)</f>
        <v>Teknopreneur*</v>
      </c>
      <c r="G58" s="138" t="str">
        <f>IF('PROGRAM JADWAL GASAL'!M59="","",'PROGRAM JADWAL GASAL'!M59)</f>
        <v>A</v>
      </c>
      <c r="H58" s="139">
        <f>IF('PROGRAM JADWAL GASAL'!N59="","",'PROGRAM JADWAL GASAL'!N59)</f>
        <v>7</v>
      </c>
      <c r="I58" s="139">
        <f>IF('PROGRAM JADWAL GASAL'!O59="","",'PROGRAM JADWAL GASAL'!O59)</f>
        <v>3</v>
      </c>
      <c r="J58" s="139">
        <f>IF('PROGRAM JADWAL GASAL'!P59="","",'PROGRAM JADWAL GASAL'!P59)</f>
        <v>20</v>
      </c>
      <c r="K58" s="136" t="str">
        <f>IF('PROGRAM JADWAL GASAL'!Q59="","",'PROGRAM JADWAL GASAL'!Q59)</f>
        <v>Rudy Dwi Nyoto, S.T., M.Eng</v>
      </c>
      <c r="L58" s="138" t="str">
        <f>IF('PROGRAM JADWAL GASAL'!R59="","",'PROGRAM JADWAL GASAL'!R59)</f>
        <v>ONLINE</v>
      </c>
    </row>
    <row r="59" spans="1:12" ht="34.950000000000003" customHeight="1" x14ac:dyDescent="0.3">
      <c r="A59" s="275"/>
      <c r="B59" s="143" t="str">
        <f>IF('PROGRAM JADWAL GASAL'!C60="","",'PROGRAM JADWAL GASAL'!C60)</f>
        <v/>
      </c>
      <c r="C59" s="144" t="str">
        <f>IF('PROGRAM JADWAL GASAL'!D60="","",'PROGRAM JADWAL GASAL'!D60)</f>
        <v/>
      </c>
      <c r="D59" s="145" t="str">
        <f>IF('PROGRAM JADWAL GASAL'!E60="","",'PROGRAM JADWAL GASAL'!E60)</f>
        <v/>
      </c>
      <c r="E59" s="151" t="str">
        <f>IF('PROGRAM JADWAL GASAL'!H60="","",'PROGRAM JADWAL GASAL'!H60)</f>
        <v/>
      </c>
      <c r="F59" s="137" t="str">
        <f>IF('PROGRAM JADWAL GASAL'!I60="","",'PROGRAM JADWAL GASAL'!I60)</f>
        <v/>
      </c>
      <c r="G59" s="138" t="str">
        <f>IF('PROGRAM JADWAL GASAL'!M60="","",'PROGRAM JADWAL GASAL'!M60)</f>
        <v/>
      </c>
      <c r="H59" s="139" t="str">
        <f>IF('PROGRAM JADWAL GASAL'!N60="","",'PROGRAM JADWAL GASAL'!N60)</f>
        <v/>
      </c>
      <c r="I59" s="139" t="str">
        <f>IF('PROGRAM JADWAL GASAL'!O60="","",'PROGRAM JADWAL GASAL'!O60)</f>
        <v/>
      </c>
      <c r="J59" s="139" t="str">
        <f>IF('PROGRAM JADWAL GASAL'!P60="","",'PROGRAM JADWAL GASAL'!P60)</f>
        <v/>
      </c>
      <c r="K59" s="136" t="str">
        <f>IF('PROGRAM JADWAL GASAL'!Q60="","",'PROGRAM JADWAL GASAL'!Q60)</f>
        <v/>
      </c>
      <c r="L59" s="138" t="str">
        <f>IF('PROGRAM JADWAL GASAL'!R60="","",'PROGRAM JADWAL GASAL'!R60)</f>
        <v/>
      </c>
    </row>
    <row r="60" spans="1:12" ht="34.950000000000003" customHeight="1" x14ac:dyDescent="0.3">
      <c r="A60" s="279"/>
      <c r="B60" s="133">
        <f>IF('PROGRAM JADWAL GASAL'!C61="","",'PROGRAM JADWAL GASAL'!C61)</f>
        <v>0.4236111111111111</v>
      </c>
      <c r="C60" s="134" t="str">
        <f>IF('PROGRAM JADWAL GASAL'!D61="","",'PROGRAM JADWAL GASAL'!D61)</f>
        <v>s/d</v>
      </c>
      <c r="D60" s="135">
        <f>IF('PROGRAM JADWAL GASAL'!E61="","",'PROGRAM JADWAL GASAL'!E61)</f>
        <v>0.49305555555555558</v>
      </c>
      <c r="E60" s="136" t="str">
        <f>IF('PROGRAM JADWAL GASAL'!H61="","",'PROGRAM JADWAL GASAL'!H61)</f>
        <v>UMG-55201-103</v>
      </c>
      <c r="F60" s="137" t="str">
        <f>IF('PROGRAM JADWAL GASAL'!I61="","",'PROGRAM JADWAL GASAL'!I61)</f>
        <v>Bahasa  Inggris  </v>
      </c>
      <c r="G60" s="138" t="str">
        <f>IF('PROGRAM JADWAL GASAL'!M61="","",'PROGRAM JADWAL GASAL'!M61)</f>
        <v>A</v>
      </c>
      <c r="H60" s="139">
        <f>IF('PROGRAM JADWAL GASAL'!N61="","",'PROGRAM JADWAL GASAL'!N61)</f>
        <v>1</v>
      </c>
      <c r="I60" s="139">
        <f>IF('PROGRAM JADWAL GASAL'!O61="","",'PROGRAM JADWAL GASAL'!O61)</f>
        <v>2</v>
      </c>
      <c r="J60" s="139">
        <f>IF('PROGRAM JADWAL GASAL'!P61="","",'PROGRAM JADWAL GASAL'!P61)</f>
        <v>35</v>
      </c>
      <c r="K60" s="136" t="str">
        <f>IF('PROGRAM JADWAL GASAL'!Q61="","",'PROGRAM JADWAL GASAL'!Q61)</f>
        <v>MKU</v>
      </c>
      <c r="L60" s="138" t="str">
        <f>IF('PROGRAM JADWAL GASAL'!R61="","",'PROGRAM JADWAL GASAL'!R61)</f>
        <v>ONLINE</v>
      </c>
    </row>
    <row r="61" spans="1:12" ht="34.950000000000003" customHeight="1" x14ac:dyDescent="0.3">
      <c r="A61" s="275"/>
      <c r="B61" s="143">
        <f>IF('PROGRAM JADWAL GASAL'!C62="","",'PROGRAM JADWAL GASAL'!C62)</f>
        <v>0.4236111111111111</v>
      </c>
      <c r="C61" s="144" t="str">
        <f>IF('PROGRAM JADWAL GASAL'!D62="","",'PROGRAM JADWAL GASAL'!D62)</f>
        <v>s/d</v>
      </c>
      <c r="D61" s="145">
        <f>IF('PROGRAM JADWAL GASAL'!E62="","",'PROGRAM JADWAL GASAL'!E62)</f>
        <v>0.49305555555555558</v>
      </c>
      <c r="E61" s="136" t="str">
        <f>IF('PROGRAM JADWAL GASAL'!H62="","",'PROGRAM JADWAL GASAL'!H62)</f>
        <v>UMG-55201-101</v>
      </c>
      <c r="F61" s="137" t="str">
        <f>IF('PROGRAM JADWAL GASAL'!I62="","",'PROGRAM JADWAL GASAL'!I62)</f>
        <v>Pendidikan Pancasila</v>
      </c>
      <c r="G61" s="138" t="str">
        <f>IF('PROGRAM JADWAL GASAL'!M62="","",'PROGRAM JADWAL GASAL'!M62)</f>
        <v>B</v>
      </c>
      <c r="H61" s="139">
        <f>IF('PROGRAM JADWAL GASAL'!N62="","",'PROGRAM JADWAL GASAL'!N62)</f>
        <v>1</v>
      </c>
      <c r="I61" s="139">
        <f>IF('PROGRAM JADWAL GASAL'!O62="","",'PROGRAM JADWAL GASAL'!O62)</f>
        <v>2</v>
      </c>
      <c r="J61" s="139">
        <f>IF('PROGRAM JADWAL GASAL'!P62="","",'PROGRAM JADWAL GASAL'!P62)</f>
        <v>35</v>
      </c>
      <c r="K61" s="136" t="str">
        <f>IF('PROGRAM JADWAL GASAL'!Q62="","",'PROGRAM JADWAL GASAL'!Q62)</f>
        <v>MKU</v>
      </c>
      <c r="L61" s="138" t="str">
        <f>IF('PROGRAM JADWAL GASAL'!R62="","",'PROGRAM JADWAL GASAL'!R62)</f>
        <v>ONLINE</v>
      </c>
    </row>
    <row r="62" spans="1:12" ht="34.950000000000003" customHeight="1" x14ac:dyDescent="0.3">
      <c r="A62" s="279"/>
      <c r="B62" s="133">
        <f>IF('PROGRAM JADWAL GASAL'!C63="","",'PROGRAM JADWAL GASAL'!C63)</f>
        <v>0.4236111111111111</v>
      </c>
      <c r="C62" s="134" t="str">
        <f>IF('PROGRAM JADWAL GASAL'!D63="","",'PROGRAM JADWAL GASAL'!D63)</f>
        <v>s/d</v>
      </c>
      <c r="D62" s="135">
        <f>IF('PROGRAM JADWAL GASAL'!E63="","",'PROGRAM JADWAL GASAL'!E63)</f>
        <v>0.49305555555555558</v>
      </c>
      <c r="E62" s="136" t="str">
        <f>IF('PROGRAM JADWAL GASAL'!H63="","",'PROGRAM JADWAL GASAL'!H63)</f>
        <v>UMG-55201-103</v>
      </c>
      <c r="F62" s="137" t="str">
        <f>IF('PROGRAM JADWAL GASAL'!I63="","",'PROGRAM JADWAL GASAL'!I63)</f>
        <v>Bahasa  Inggris  </v>
      </c>
      <c r="G62" s="138" t="str">
        <f>IF('PROGRAM JADWAL GASAL'!M63="","",'PROGRAM JADWAL GASAL'!M63)</f>
        <v>C</v>
      </c>
      <c r="H62" s="139">
        <f>IF('PROGRAM JADWAL GASAL'!N63="","",'PROGRAM JADWAL GASAL'!N63)</f>
        <v>1</v>
      </c>
      <c r="I62" s="139">
        <f>IF('PROGRAM JADWAL GASAL'!O63="","",'PROGRAM JADWAL GASAL'!O63)</f>
        <v>2</v>
      </c>
      <c r="J62" s="139">
        <f>IF('PROGRAM JADWAL GASAL'!P63="","",'PROGRAM JADWAL GASAL'!P63)</f>
        <v>35</v>
      </c>
      <c r="K62" s="136" t="str">
        <f>IF('PROGRAM JADWAL GASAL'!Q63="","",'PROGRAM JADWAL GASAL'!Q63)</f>
        <v>MKU</v>
      </c>
      <c r="L62" s="138" t="str">
        <f>IF('PROGRAM JADWAL GASAL'!R63="","",'PROGRAM JADWAL GASAL'!R63)</f>
        <v>ONLINE</v>
      </c>
    </row>
    <row r="63" spans="1:12" ht="34.950000000000003" customHeight="1" x14ac:dyDescent="0.3">
      <c r="A63" s="275"/>
      <c r="B63" s="143" t="str">
        <f>IF('PROGRAM JADWAL GASAL'!C64="","",'PROGRAM JADWAL GASAL'!C64)</f>
        <v/>
      </c>
      <c r="C63" s="144" t="str">
        <f>IF('PROGRAM JADWAL GASAL'!D64="","",'PROGRAM JADWAL GASAL'!D64)</f>
        <v/>
      </c>
      <c r="D63" s="145" t="str">
        <f>IF('PROGRAM JADWAL GASAL'!E64="","",'PROGRAM JADWAL GASAL'!E64)</f>
        <v/>
      </c>
      <c r="E63" s="136" t="str">
        <f>IF('PROGRAM JADWAL GASAL'!H64="","",'PROGRAM JADWAL GASAL'!H64)</f>
        <v/>
      </c>
      <c r="F63" s="137" t="str">
        <f>IF('PROGRAM JADWAL GASAL'!I64="","",'PROGRAM JADWAL GASAL'!I64)</f>
        <v/>
      </c>
      <c r="G63" s="138" t="str">
        <f>IF('PROGRAM JADWAL GASAL'!M64="","",'PROGRAM JADWAL GASAL'!M64)</f>
        <v/>
      </c>
      <c r="H63" s="139" t="str">
        <f>IF('PROGRAM JADWAL GASAL'!N64="","",'PROGRAM JADWAL GASAL'!N64)</f>
        <v/>
      </c>
      <c r="I63" s="139" t="str">
        <f>IF('PROGRAM JADWAL GASAL'!O64="","",'PROGRAM JADWAL GASAL'!O64)</f>
        <v/>
      </c>
      <c r="J63" s="139" t="str">
        <f>IF('PROGRAM JADWAL GASAL'!P64="","",'PROGRAM JADWAL GASAL'!P64)</f>
        <v/>
      </c>
      <c r="K63" s="136" t="str">
        <f>IF('PROGRAM JADWAL GASAL'!Q64="","",'PROGRAM JADWAL GASAL'!Q64)</f>
        <v/>
      </c>
      <c r="L63" s="138" t="str">
        <f>IF('PROGRAM JADWAL GASAL'!R64="","",'PROGRAM JADWAL GASAL'!R64)</f>
        <v/>
      </c>
    </row>
    <row r="64" spans="1:12" ht="34.950000000000003" customHeight="1" x14ac:dyDescent="0.3">
      <c r="A64" s="279"/>
      <c r="B64" s="133">
        <f>IF('PROGRAM JADWAL GASAL'!C65="","",'PROGRAM JADWAL GASAL'!C65)</f>
        <v>0.54166666666666663</v>
      </c>
      <c r="C64" s="134" t="str">
        <f>IF('PROGRAM JADWAL GASAL'!D65="","",'PROGRAM JADWAL GASAL'!D65)</f>
        <v>s/d</v>
      </c>
      <c r="D64" s="135">
        <f>IF('PROGRAM JADWAL GASAL'!E65="","",'PROGRAM JADWAL GASAL'!E65)</f>
        <v>0.61111111111111105</v>
      </c>
      <c r="E64" s="136" t="str">
        <f>IF('PROGRAM JADWAL GASAL'!H65="","",'PROGRAM JADWAL GASAL'!H65)</f>
        <v>INF-55201-301</v>
      </c>
      <c r="F64" s="137" t="str">
        <f>IF('PROGRAM JADWAL GASAL'!I65="","",'PROGRAM JADWAL GASAL'!I65)</f>
        <v>Interaksi  Manusia  dan  Komputer  </v>
      </c>
      <c r="G64" s="138" t="str">
        <f>IF('PROGRAM JADWAL GASAL'!M65="","",'PROGRAM JADWAL GASAL'!M65)</f>
        <v>C</v>
      </c>
      <c r="H64" s="139">
        <f>IF('PROGRAM JADWAL GASAL'!N65="","",'PROGRAM JADWAL GASAL'!N65)</f>
        <v>5</v>
      </c>
      <c r="I64" s="139">
        <f>IF('PROGRAM JADWAL GASAL'!O65="","",'PROGRAM JADWAL GASAL'!O65)</f>
        <v>2</v>
      </c>
      <c r="J64" s="139">
        <f>IF('PROGRAM JADWAL GASAL'!P65="","",'PROGRAM JADWAL GASAL'!P65)</f>
        <v>25</v>
      </c>
      <c r="K64" s="136" t="str">
        <f>IF('PROGRAM JADWAL GASAL'!Q65="","",'PROGRAM JADWAL GASAL'!Q65)</f>
        <v>Anggi Perwitasari, S.T., M.T.</v>
      </c>
      <c r="L64" s="138" t="str">
        <f>IF('PROGRAM JADWAL GASAL'!R65="","",'PROGRAM JADWAL GASAL'!R65)</f>
        <v>ONLINE</v>
      </c>
    </row>
    <row r="65" spans="1:12" ht="34.950000000000003" customHeight="1" x14ac:dyDescent="0.3">
      <c r="A65" s="275"/>
      <c r="B65" s="143">
        <f>IF('PROGRAM JADWAL GASAL'!C66="","",'PROGRAM JADWAL GASAL'!C66)</f>
        <v>0.54166666666666663</v>
      </c>
      <c r="C65" s="144" t="str">
        <f>IF('PROGRAM JADWAL GASAL'!D66="","",'PROGRAM JADWAL GASAL'!D66)</f>
        <v>s/d</v>
      </c>
      <c r="D65" s="145">
        <f>IF('PROGRAM JADWAL GASAL'!E66="","",'PROGRAM JADWAL GASAL'!E66)</f>
        <v>0.61111111111111105</v>
      </c>
      <c r="E65" s="136" t="str">
        <f>IF('PROGRAM JADWAL GASAL'!H66="","",'PROGRAM JADWAL GASAL'!H66)</f>
        <v>INF-55201-201</v>
      </c>
      <c r="F65" s="137" t="str">
        <f>IF('PROGRAM JADWAL GASAL'!I66="","",'PROGRAM JADWAL GASAL'!I66)</f>
        <v>Perancangan Basis Data</v>
      </c>
      <c r="G65" s="138" t="str">
        <f>IF('PROGRAM JADWAL GASAL'!M66="","",'PROGRAM JADWAL GASAL'!M66)</f>
        <v>B</v>
      </c>
      <c r="H65" s="139">
        <f>IF('PROGRAM JADWAL GASAL'!N66="","",'PROGRAM JADWAL GASAL'!N66)</f>
        <v>3</v>
      </c>
      <c r="I65" s="139">
        <f>IF('PROGRAM JADWAL GASAL'!O66="","",'PROGRAM JADWAL GASAL'!O66)</f>
        <v>2</v>
      </c>
      <c r="J65" s="139">
        <f>IF('PROGRAM JADWAL GASAL'!P66="","",'PROGRAM JADWAL GASAL'!P66)</f>
        <v>20</v>
      </c>
      <c r="K65" s="136" t="str">
        <f>IF('PROGRAM JADWAL GASAL'!Q66="","",'PROGRAM JADWAL GASAL'!Q66)</f>
        <v>Haried Novriando, S.Kom, M.Eng</v>
      </c>
      <c r="L65" s="138" t="str">
        <f>IF('PROGRAM JADWAL GASAL'!R66="","",'PROGRAM JADWAL GASAL'!R66)</f>
        <v>ONLINE</v>
      </c>
    </row>
    <row r="66" spans="1:12" ht="34.950000000000003" customHeight="1" x14ac:dyDescent="0.3">
      <c r="A66" s="279"/>
      <c r="B66" s="133">
        <f>IF('PROGRAM JADWAL GASAL'!C67="","",'PROGRAM JADWAL GASAL'!C67)</f>
        <v>0.54166666666666663</v>
      </c>
      <c r="C66" s="134" t="str">
        <f>IF('PROGRAM JADWAL GASAL'!D67="","",'PROGRAM JADWAL GASAL'!D67)</f>
        <v>s/d</v>
      </c>
      <c r="D66" s="135">
        <f>IF('PROGRAM JADWAL GASAL'!E67="","",'PROGRAM JADWAL GASAL'!E67)</f>
        <v>0.61111111111111105</v>
      </c>
      <c r="E66" s="136" t="str">
        <f>IF('PROGRAM JADWAL GASAL'!H67="","",'PROGRAM JADWAL GASAL'!H67)</f>
        <v>INF-55201-201</v>
      </c>
      <c r="F66" s="137" t="str">
        <f>IF('PROGRAM JADWAL GASAL'!I67="","",'PROGRAM JADWAL GASAL'!I67)</f>
        <v>Perancangan Basis Data</v>
      </c>
      <c r="G66" s="138" t="str">
        <f>IF('PROGRAM JADWAL GASAL'!M67="","",'PROGRAM JADWAL GASAL'!M67)</f>
        <v>A</v>
      </c>
      <c r="H66" s="139">
        <f>IF('PROGRAM JADWAL GASAL'!N67="","",'PROGRAM JADWAL GASAL'!N67)</f>
        <v>3</v>
      </c>
      <c r="I66" s="139">
        <f>IF('PROGRAM JADWAL GASAL'!O67="","",'PROGRAM JADWAL GASAL'!O67)</f>
        <v>2</v>
      </c>
      <c r="J66" s="139">
        <f>IF('PROGRAM JADWAL GASAL'!P67="","",'PROGRAM JADWAL GASAL'!P67)</f>
        <v>20</v>
      </c>
      <c r="K66" s="136" t="str">
        <f>IF('PROGRAM JADWAL GASAL'!Q67="","",'PROGRAM JADWAL GASAL'!Q67)</f>
        <v>Yulianti,S.Kom, MMSI / Desepta Isna Ulumi, S.Kom, M.Kom.</v>
      </c>
      <c r="L66" s="138" t="str">
        <f>IF('PROGRAM JADWAL GASAL'!R67="","",'PROGRAM JADWAL GASAL'!R67)</f>
        <v>ONLINE</v>
      </c>
    </row>
    <row r="67" spans="1:12" ht="34.950000000000003" customHeight="1" x14ac:dyDescent="0.3">
      <c r="A67" s="275"/>
      <c r="B67" s="143">
        <f>IF('PROGRAM JADWAL GASAL'!C68="","",'PROGRAM JADWAL GASAL'!C68)</f>
        <v>0.54166666666666663</v>
      </c>
      <c r="C67" s="144" t="str">
        <f>IF('PROGRAM JADWAL GASAL'!D68="","",'PROGRAM JADWAL GASAL'!D68)</f>
        <v>s/d</v>
      </c>
      <c r="D67" s="145">
        <f>IF('PROGRAM JADWAL GASAL'!E68="","",'PROGRAM JADWAL GASAL'!E68)</f>
        <v>0.61111111111111105</v>
      </c>
      <c r="E67" s="136" t="str">
        <f>IF('PROGRAM JADWAL GASAL'!H68="","",'PROGRAM JADWAL GASAL'!H68)</f>
        <v>INF-55201-310</v>
      </c>
      <c r="F67" s="137" t="str">
        <f>IF('PROGRAM JADWAL GASAL'!I68="","",'PROGRAM JADWAL GASAL'!I68)</f>
        <v>Penulisan Proposal  Tugas  Akhir  </v>
      </c>
      <c r="G67" s="138" t="str">
        <f>IF('PROGRAM JADWAL GASAL'!M68="","",'PROGRAM JADWAL GASAL'!M68)</f>
        <v>D</v>
      </c>
      <c r="H67" s="139">
        <f>IF('PROGRAM JADWAL GASAL'!N68="","",'PROGRAM JADWAL GASAL'!N68)</f>
        <v>5</v>
      </c>
      <c r="I67" s="139">
        <f>IF('PROGRAM JADWAL GASAL'!O68="","",'PROGRAM JADWAL GASAL'!O68)</f>
        <v>2</v>
      </c>
      <c r="J67" s="139">
        <f>IF('PROGRAM JADWAL GASAL'!P68="","",'PROGRAM JADWAL GASAL'!P68)</f>
        <v>20</v>
      </c>
      <c r="K67" s="136" t="str">
        <f>IF('PROGRAM JADWAL GASAL'!Q68="","",'PROGRAM JADWAL GASAL'!Q68)</f>
        <v>Dr. Yus Sholva, S.T., M.T.</v>
      </c>
      <c r="L67" s="138" t="str">
        <f>IF('PROGRAM JADWAL GASAL'!R68="","",'PROGRAM JADWAL GASAL'!R68)</f>
        <v>ONLINE</v>
      </c>
    </row>
    <row r="68" spans="1:12" ht="34.950000000000003" customHeight="1" x14ac:dyDescent="0.3">
      <c r="A68" s="279"/>
      <c r="B68" s="133" t="str">
        <f>IF('PROGRAM JADWAL GASAL'!C69="","",'PROGRAM JADWAL GASAL'!C69)</f>
        <v/>
      </c>
      <c r="C68" s="134" t="str">
        <f>IF('PROGRAM JADWAL GASAL'!D69="","",'PROGRAM JADWAL GASAL'!D69)</f>
        <v/>
      </c>
      <c r="D68" s="135" t="str">
        <f>IF('PROGRAM JADWAL GASAL'!E69="","",'PROGRAM JADWAL GASAL'!E69)</f>
        <v/>
      </c>
      <c r="E68" s="136" t="str">
        <f>IF('PROGRAM JADWAL GASAL'!H69="","",'PROGRAM JADWAL GASAL'!H69)</f>
        <v/>
      </c>
      <c r="F68" s="137" t="str">
        <f>IF('PROGRAM JADWAL GASAL'!I69="","",'PROGRAM JADWAL GASAL'!I69)</f>
        <v/>
      </c>
      <c r="G68" s="138" t="str">
        <f>IF('PROGRAM JADWAL GASAL'!M69="","",'PROGRAM JADWAL GASAL'!M69)</f>
        <v/>
      </c>
      <c r="H68" s="139" t="str">
        <f>IF('PROGRAM JADWAL GASAL'!N69="","",'PROGRAM JADWAL GASAL'!N69)</f>
        <v/>
      </c>
      <c r="I68" s="139" t="str">
        <f>IF('PROGRAM JADWAL GASAL'!O69="","",'PROGRAM JADWAL GASAL'!O69)</f>
        <v/>
      </c>
      <c r="J68" s="139" t="str">
        <f>IF('PROGRAM JADWAL GASAL'!P69="","",'PROGRAM JADWAL GASAL'!P69)</f>
        <v/>
      </c>
      <c r="K68" s="136" t="str">
        <f>IF('PROGRAM JADWAL GASAL'!Q69="","",'PROGRAM JADWAL GASAL'!Q69)</f>
        <v/>
      </c>
      <c r="L68" s="138" t="str">
        <f>IF('PROGRAM JADWAL GASAL'!R69="","",'PROGRAM JADWAL GASAL'!R69)</f>
        <v/>
      </c>
    </row>
    <row r="69" spans="1:12" ht="34.950000000000003" customHeight="1" x14ac:dyDescent="0.3">
      <c r="A69" s="275"/>
      <c r="B69" s="143">
        <f>IF('PROGRAM JADWAL GASAL'!C70="","",'PROGRAM JADWAL GASAL'!C70)</f>
        <v>0.61458333333333337</v>
      </c>
      <c r="C69" s="144" t="str">
        <f>IF('PROGRAM JADWAL GASAL'!D70="","",'PROGRAM JADWAL GASAL'!D70)</f>
        <v>s/d</v>
      </c>
      <c r="D69" s="145">
        <f>IF('PROGRAM JADWAL GASAL'!E70="","",'PROGRAM JADWAL GASAL'!E70)</f>
        <v>0.71875</v>
      </c>
      <c r="E69" s="136" t="str">
        <f>IF('PROGRAM JADWAL GASAL'!H70="","",'PROGRAM JADWAL GASAL'!H70)</f>
        <v>INF-55201-304</v>
      </c>
      <c r="F69" s="137" t="str">
        <f>IF('PROGRAM JADWAL GASAL'!I70="","",'PROGRAM JADWAL GASAL'!I70)</f>
        <v>Sistem Tertanam*</v>
      </c>
      <c r="G69" s="138" t="str">
        <f>IF('PROGRAM JADWAL GASAL'!M70="","",'PROGRAM JADWAL GASAL'!M70)</f>
        <v>A</v>
      </c>
      <c r="H69" s="139">
        <f>IF('PROGRAM JADWAL GASAL'!N70="","",'PROGRAM JADWAL GASAL'!N70)</f>
        <v>5</v>
      </c>
      <c r="I69" s="139">
        <f>IF('PROGRAM JADWAL GASAL'!O70="","",'PROGRAM JADWAL GASAL'!O70)</f>
        <v>3</v>
      </c>
      <c r="J69" s="139">
        <f>IF('PROGRAM JADWAL GASAL'!P70="","",'PROGRAM JADWAL GASAL'!P70)</f>
        <v>20</v>
      </c>
      <c r="K69" s="136" t="str">
        <f>IF('PROGRAM JADWAL GASAL'!Q70="","",'PROGRAM JADWAL GASAL'!Q70)</f>
        <v>Hafiz Muhardi, S.T., M.Kom</v>
      </c>
      <c r="L69" s="138" t="str">
        <f>IF('PROGRAM JADWAL GASAL'!R70="","",'PROGRAM JADWAL GASAL'!R70)</f>
        <v>ONLINE</v>
      </c>
    </row>
    <row r="70" spans="1:12" ht="34.950000000000003" customHeight="1" x14ac:dyDescent="0.3">
      <c r="A70" s="279"/>
      <c r="B70" s="133">
        <f>IF('PROGRAM JADWAL GASAL'!C71="","",'PROGRAM JADWAL GASAL'!C71)</f>
        <v>0.61458333333333337</v>
      </c>
      <c r="C70" s="134" t="str">
        <f>IF('PROGRAM JADWAL GASAL'!D71="","",'PROGRAM JADWAL GASAL'!D71)</f>
        <v>s/d</v>
      </c>
      <c r="D70" s="135">
        <f>IF('PROGRAM JADWAL GASAL'!E71="","",'PROGRAM JADWAL GASAL'!E71)</f>
        <v>0.71875</v>
      </c>
      <c r="E70" s="136" t="str">
        <f>IF('PROGRAM JADWAL GASAL'!H71="","",'PROGRAM JADWAL GASAL'!H71)</f>
        <v>INF-55201-204</v>
      </c>
      <c r="F70" s="137" t="str">
        <f>IF('PROGRAM JADWAL GASAL'!I71="","",'PROGRAM JADWAL GASAL'!I71)</f>
        <v>Metode  Numerik*</v>
      </c>
      <c r="G70" s="138" t="str">
        <f>IF('PROGRAM JADWAL GASAL'!M71="","",'PROGRAM JADWAL GASAL'!M71)</f>
        <v>B</v>
      </c>
      <c r="H70" s="139">
        <f>IF('PROGRAM JADWAL GASAL'!N71="","",'PROGRAM JADWAL GASAL'!N71)</f>
        <v>3</v>
      </c>
      <c r="I70" s="139">
        <f>IF('PROGRAM JADWAL GASAL'!O71="","",'PROGRAM JADWAL GASAL'!O71)</f>
        <v>3</v>
      </c>
      <c r="J70" s="139">
        <f>IF('PROGRAM JADWAL GASAL'!P71="","",'PROGRAM JADWAL GASAL'!P71)</f>
        <v>25</v>
      </c>
      <c r="K70" s="136" t="str">
        <f>IF('PROGRAM JADWAL GASAL'!Q71="","",'PROGRAM JADWAL GASAL'!Q71)</f>
        <v>Helen Sastypratiwi, S.T., M.Eng</v>
      </c>
      <c r="L70" s="138" t="str">
        <f>IF('PROGRAM JADWAL GASAL'!R71="","",'PROGRAM JADWAL GASAL'!R71)</f>
        <v>ONLINE</v>
      </c>
    </row>
    <row r="71" spans="1:12" ht="34.950000000000003" customHeight="1" x14ac:dyDescent="0.3">
      <c r="A71" s="275"/>
      <c r="B71" s="143">
        <f>IF('PROGRAM JADWAL GASAL'!C72="","",'PROGRAM JADWAL GASAL'!C72)</f>
        <v>0.61458333333333337</v>
      </c>
      <c r="C71" s="144" t="str">
        <f>IF('PROGRAM JADWAL GASAL'!D72="","",'PROGRAM JADWAL GASAL'!D72)</f>
        <v>s/d</v>
      </c>
      <c r="D71" s="145">
        <f>IF('PROGRAM JADWAL GASAL'!E72="","",'PROGRAM JADWAL GASAL'!E72)</f>
        <v>0.71875</v>
      </c>
      <c r="E71" s="150" t="str">
        <f>IF('PROGRAM JADWAL GASAL'!H72="","",'PROGRAM JADWAL GASAL'!H72)</f>
        <v>INF-55201-207</v>
      </c>
      <c r="F71" s="137" t="str">
        <f>IF('PROGRAM JADWAL GASAL'!I72="","",'PROGRAM JADWAL GASAL'!I72)</f>
        <v>Sistem Operasi*</v>
      </c>
      <c r="G71" s="138" t="str">
        <f>IF('PROGRAM JADWAL GASAL'!M72="","",'PROGRAM JADWAL GASAL'!M72)</f>
        <v>C</v>
      </c>
      <c r="H71" s="139">
        <f>IF('PROGRAM JADWAL GASAL'!N72="","",'PROGRAM JADWAL GASAL'!N72)</f>
        <v>3</v>
      </c>
      <c r="I71" s="139">
        <f>IF('PROGRAM JADWAL GASAL'!O72="","",'PROGRAM JADWAL GASAL'!O72)</f>
        <v>3</v>
      </c>
      <c r="J71" s="139">
        <f>IF('PROGRAM JADWAL GASAL'!P72="","",'PROGRAM JADWAL GASAL'!P72)</f>
        <v>20</v>
      </c>
      <c r="K71" s="136" t="str">
        <f>IF('PROGRAM JADWAL GASAL'!Q72="","",'PROGRAM JADWAL GASAL'!Q72)</f>
        <v>Helfi Nasution, S.Kom, M.Cs / Desepta Isna Ulumi, S.Kom, M.Kom.</v>
      </c>
      <c r="L71" s="138" t="str">
        <f>IF('PROGRAM JADWAL GASAL'!R72="","",'PROGRAM JADWAL GASAL'!R72)</f>
        <v>ONLINE</v>
      </c>
    </row>
    <row r="72" spans="1:12" ht="34.950000000000003" customHeight="1" x14ac:dyDescent="0.3">
      <c r="A72" s="279"/>
      <c r="B72" s="133">
        <f>IF('PROGRAM JADWAL GASAL'!C73="","",'PROGRAM JADWAL GASAL'!C73)</f>
        <v>0.61458333333333337</v>
      </c>
      <c r="C72" s="134" t="str">
        <f>IF('PROGRAM JADWAL GASAL'!D73="","",'PROGRAM JADWAL GASAL'!D73)</f>
        <v>s/d</v>
      </c>
      <c r="D72" s="135">
        <f>IF('PROGRAM JADWAL GASAL'!E73="","",'PROGRAM JADWAL GASAL'!E73)</f>
        <v>0.71875</v>
      </c>
      <c r="E72" s="136" t="str">
        <f>IF('PROGRAM JADWAL GASAL'!H73="","",'PROGRAM JADWAL GASAL'!H73)</f>
        <v>INF-55201-101</v>
      </c>
      <c r="F72" s="137" t="str">
        <f>IF('PROGRAM JADWAL GASAL'!I73="","",'PROGRAM JADWAL GASAL'!I73)</f>
        <v>Matematika  Dasar I</v>
      </c>
      <c r="G72" s="138" t="str">
        <f>IF('PROGRAM JADWAL GASAL'!M73="","",'PROGRAM JADWAL GASAL'!M73)</f>
        <v>D</v>
      </c>
      <c r="H72" s="139">
        <f>IF('PROGRAM JADWAL GASAL'!N73="","",'PROGRAM JADWAL GASAL'!N73)</f>
        <v>1</v>
      </c>
      <c r="I72" s="139">
        <f>IF('PROGRAM JADWAL GASAL'!O73="","",'PROGRAM JADWAL GASAL'!O73)</f>
        <v>3</v>
      </c>
      <c r="J72" s="139">
        <f>IF('PROGRAM JADWAL GASAL'!P73="","",'PROGRAM JADWAL GASAL'!P73)</f>
        <v>25</v>
      </c>
      <c r="K72" s="136" t="str">
        <f>IF('PROGRAM JADWAL GASAL'!Q73="","",'PROGRAM JADWAL GASAL'!Q73)</f>
        <v>Rina Septiriana, S.T., M.Cs. / Niken Candraningrum, S.T., M.Cs.</v>
      </c>
      <c r="L72" s="138" t="str">
        <f>IF('PROGRAM JADWAL GASAL'!R73="","",'PROGRAM JADWAL GASAL'!R73)</f>
        <v>ONLINE</v>
      </c>
    </row>
    <row r="73" spans="1:12" ht="34.950000000000003" customHeight="1" x14ac:dyDescent="0.3">
      <c r="A73" s="275"/>
      <c r="B73" s="143">
        <f>IF('PROGRAM JADWAL GASAL'!C74="","",'PROGRAM JADWAL GASAL'!C74)</f>
        <v>0.61458333333333337</v>
      </c>
      <c r="C73" s="144" t="str">
        <f>IF('PROGRAM JADWAL GASAL'!D74="","",'PROGRAM JADWAL GASAL'!D74)</f>
        <v>s/d</v>
      </c>
      <c r="D73" s="145">
        <f>IF('PROGRAM JADWAL GASAL'!E74="","",'PROGRAM JADWAL GASAL'!E74)</f>
        <v>0.71875</v>
      </c>
      <c r="E73" s="151" t="str">
        <f>IF('PROGRAM JADWAL GASAL'!H74="","",'PROGRAM JADWAL GASAL'!H74)</f>
        <v>INF­55201­523</v>
      </c>
      <c r="F73" s="137" t="str">
        <f>IF('PROGRAM JADWAL GASAL'!I74="","",'PROGRAM JADWAL GASAL'!I74)</f>
        <v xml:space="preserve">Komputasi  Awan  </v>
      </c>
      <c r="G73" s="138" t="str">
        <f>IF('PROGRAM JADWAL GASAL'!M74="","",'PROGRAM JADWAL GASAL'!M74)</f>
        <v>B</v>
      </c>
      <c r="H73" s="139">
        <f>IF('PROGRAM JADWAL GASAL'!N74="","",'PROGRAM JADWAL GASAL'!N74)</f>
        <v>7</v>
      </c>
      <c r="I73" s="139">
        <f>IF('PROGRAM JADWAL GASAL'!O74="","",'PROGRAM JADWAL GASAL'!O74)</f>
        <v>3</v>
      </c>
      <c r="J73" s="139">
        <f>IF('PROGRAM JADWAL GASAL'!P74="","",'PROGRAM JADWAL GASAL'!P74)</f>
        <v>20</v>
      </c>
      <c r="K73" s="136" t="str">
        <f>IF('PROGRAM JADWAL GASAL'!Q74="","",'PROGRAM JADWAL GASAL'!Q74)</f>
        <v>Anggi Srimurdianti, S.T., M.T.</v>
      </c>
      <c r="L73" s="138" t="str">
        <f>IF('PROGRAM JADWAL GASAL'!R74="","",'PROGRAM JADWAL GASAL'!R74)</f>
        <v>ONLINE</v>
      </c>
    </row>
    <row r="74" spans="1:12" ht="34.950000000000003" customHeight="1" x14ac:dyDescent="0.3">
      <c r="A74" s="132"/>
      <c r="B74" s="133" t="str">
        <f>IF('PROGRAM JADWAL GASAL'!C75="","",'PROGRAM JADWAL GASAL'!C75)</f>
        <v/>
      </c>
      <c r="C74" s="134" t="str">
        <f>IF('PROGRAM JADWAL GASAL'!D75="","",'PROGRAM JADWAL GASAL'!D75)</f>
        <v/>
      </c>
      <c r="D74" s="135" t="str">
        <f>IF('PROGRAM JADWAL GASAL'!E75="","",'PROGRAM JADWAL GASAL'!E75)</f>
        <v/>
      </c>
      <c r="E74" s="136" t="str">
        <f>IF('PROGRAM JADWAL GASAL'!H75="","",'PROGRAM JADWAL GASAL'!H75)</f>
        <v/>
      </c>
      <c r="F74" s="137" t="str">
        <f>IF('PROGRAM JADWAL GASAL'!I75="","",'PROGRAM JADWAL GASAL'!I75)</f>
        <v/>
      </c>
      <c r="G74" s="138" t="str">
        <f>IF('PROGRAM JADWAL GASAL'!M75="","",'PROGRAM JADWAL GASAL'!M75)</f>
        <v/>
      </c>
      <c r="H74" s="139" t="str">
        <f>IF('PROGRAM JADWAL GASAL'!N75="","",'PROGRAM JADWAL GASAL'!N75)</f>
        <v/>
      </c>
      <c r="I74" s="139" t="str">
        <f>IF('PROGRAM JADWAL GASAL'!O75="","",'PROGRAM JADWAL GASAL'!O75)</f>
        <v/>
      </c>
      <c r="J74" s="139" t="str">
        <f>IF('PROGRAM JADWAL GASAL'!P75="","",'PROGRAM JADWAL GASAL'!P75)</f>
        <v/>
      </c>
      <c r="K74" s="136" t="str">
        <f>IF('PROGRAM JADWAL GASAL'!Q75="","",'PROGRAM JADWAL GASAL'!Q75)</f>
        <v/>
      </c>
      <c r="L74" s="138" t="str">
        <f>IF('PROGRAM JADWAL GASAL'!R75="","",'PROGRAM JADWAL GASAL'!R75)</f>
        <v/>
      </c>
    </row>
    <row r="75" spans="1:12" ht="34.950000000000003" customHeight="1" x14ac:dyDescent="0.3">
      <c r="A75" s="280" t="s">
        <v>328</v>
      </c>
      <c r="B75" s="143">
        <f>IF('PROGRAM JADWAL GASAL'!C76="","",'PROGRAM JADWAL GASAL'!C76)</f>
        <v>0.3125</v>
      </c>
      <c r="C75" s="144" t="str">
        <f>IF('PROGRAM JADWAL GASAL'!D76="","",'PROGRAM JADWAL GASAL'!D76)</f>
        <v>s/d</v>
      </c>
      <c r="D75" s="145">
        <f>IF('PROGRAM JADWAL GASAL'!E76="","",'PROGRAM JADWAL GASAL'!E76)</f>
        <v>0.41666666666666669</v>
      </c>
      <c r="E75" s="136" t="str">
        <f>IF('PROGRAM JADWAL GASAL'!H76="","",'PROGRAM JADWAL GASAL'!H76)</f>
        <v>INF-55201-204</v>
      </c>
      <c r="F75" s="137" t="str">
        <f>IF('PROGRAM JADWAL GASAL'!I76="","",'PROGRAM JADWAL GASAL'!I76)</f>
        <v>Metode  Numerik*</v>
      </c>
      <c r="G75" s="138" t="str">
        <f>IF('PROGRAM JADWAL GASAL'!M76="","",'PROGRAM JADWAL GASAL'!M76)</f>
        <v>A</v>
      </c>
      <c r="H75" s="139">
        <f>IF('PROGRAM JADWAL GASAL'!N76="","",'PROGRAM JADWAL GASAL'!N76)</f>
        <v>3</v>
      </c>
      <c r="I75" s="139">
        <f>IF('PROGRAM JADWAL GASAL'!O76="","",'PROGRAM JADWAL GASAL'!O76)</f>
        <v>3</v>
      </c>
      <c r="J75" s="139">
        <f>IF('PROGRAM JADWAL GASAL'!P76="","",'PROGRAM JADWAL GASAL'!P76)</f>
        <v>25</v>
      </c>
      <c r="K75" s="136" t="str">
        <f>IF('PROGRAM JADWAL GASAL'!Q76="","",'PROGRAM JADWAL GASAL'!Q76)</f>
        <v>Helen Sastypratiwi, S.T., M.Eng</v>
      </c>
      <c r="L75" s="138" t="str">
        <f>IF('PROGRAM JADWAL GASAL'!R76="","",'PROGRAM JADWAL GASAL'!R76)</f>
        <v>ONLINE</v>
      </c>
    </row>
    <row r="76" spans="1:12" ht="34.950000000000003" customHeight="1" x14ac:dyDescent="0.3">
      <c r="A76" s="281"/>
      <c r="B76" s="133">
        <f>IF('PROGRAM JADWAL GASAL'!C77="","",'PROGRAM JADWAL GASAL'!C77)</f>
        <v>0.3125</v>
      </c>
      <c r="C76" s="134" t="str">
        <f>IF('PROGRAM JADWAL GASAL'!D77="","",'PROGRAM JADWAL GASAL'!D77)</f>
        <v>s/d</v>
      </c>
      <c r="D76" s="135">
        <f>IF('PROGRAM JADWAL GASAL'!E77="","",'PROGRAM JADWAL GASAL'!E77)</f>
        <v>0.41666666666666669</v>
      </c>
      <c r="E76" s="136" t="str">
        <f>IF('PROGRAM JADWAL GASAL'!H77="","",'PROGRAM JADWAL GASAL'!H77)</f>
        <v>INF-55201-401</v>
      </c>
      <c r="F76" s="137" t="str">
        <f>IF('PROGRAM JADWAL GASAL'!I77="","",'PROGRAM JADWAL GASAL'!I77)</f>
        <v>Teknopreneur*</v>
      </c>
      <c r="G76" s="138" t="str">
        <f>IF('PROGRAM JADWAL GASAL'!M77="","",'PROGRAM JADWAL GASAL'!M77)</f>
        <v>D</v>
      </c>
      <c r="H76" s="139">
        <f>IF('PROGRAM JADWAL GASAL'!N77="","",'PROGRAM JADWAL GASAL'!N77)</f>
        <v>7</v>
      </c>
      <c r="I76" s="139">
        <f>IF('PROGRAM JADWAL GASAL'!O77="","",'PROGRAM JADWAL GASAL'!O77)</f>
        <v>3</v>
      </c>
      <c r="J76" s="139">
        <f>IF('PROGRAM JADWAL GASAL'!P77="","",'PROGRAM JADWAL GASAL'!P77)</f>
        <v>20</v>
      </c>
      <c r="K76" s="136" t="str">
        <f>IF('PROGRAM JADWAL GASAL'!Q77="","",'PROGRAM JADWAL GASAL'!Q77)</f>
        <v>Enda Esyudha Pratama, S.T., M.T.</v>
      </c>
      <c r="L76" s="138" t="str">
        <f>IF('PROGRAM JADWAL GASAL'!R77="","",'PROGRAM JADWAL GASAL'!R77)</f>
        <v>ONLINE</v>
      </c>
    </row>
    <row r="77" spans="1:12" ht="34.950000000000003" customHeight="1" x14ac:dyDescent="0.3">
      <c r="A77" s="281"/>
      <c r="B77" s="143">
        <f>IF('PROGRAM JADWAL GASAL'!C78="","",'PROGRAM JADWAL GASAL'!C78)</f>
        <v>0.3125</v>
      </c>
      <c r="C77" s="144" t="str">
        <f>IF('PROGRAM JADWAL GASAL'!D78="","",'PROGRAM JADWAL GASAL'!D78)</f>
        <v>s/d</v>
      </c>
      <c r="D77" s="145">
        <f>IF('PROGRAM JADWAL GASAL'!E78="","",'PROGRAM JADWAL GASAL'!E78)</f>
        <v>0.41666666666666669</v>
      </c>
      <c r="E77" s="136" t="str">
        <f>IF('PROGRAM JADWAL GASAL'!H78="","",'PROGRAM JADWAL GASAL'!H78)</f>
        <v>INF-55201-305</v>
      </c>
      <c r="F77" s="137" t="str">
        <f>IF('PROGRAM JADWAL GASAL'!I78="","",'PROGRAM JADWAL GASAL'!I78)</f>
        <v>Kecerdasan Buatan</v>
      </c>
      <c r="G77" s="138" t="str">
        <f>IF('PROGRAM JADWAL GASAL'!M78="","",'PROGRAM JADWAL GASAL'!M78)</f>
        <v>B</v>
      </c>
      <c r="H77" s="139">
        <f>IF('PROGRAM JADWAL GASAL'!N78="","",'PROGRAM JADWAL GASAL'!N78)</f>
        <v>5</v>
      </c>
      <c r="I77" s="139">
        <f>IF('PROGRAM JADWAL GASAL'!O78="","",'PROGRAM JADWAL GASAL'!O78)</f>
        <v>3</v>
      </c>
      <c r="J77" s="139">
        <f>IF('PROGRAM JADWAL GASAL'!P78="","",'PROGRAM JADWAL GASAL'!P78)</f>
        <v>20</v>
      </c>
      <c r="K77" s="136" t="str">
        <f>IF('PROGRAM JADWAL GASAL'!Q78="","",'PROGRAM JADWAL GASAL'!Q78)</f>
        <v>Tursina ST, M.Cs / Rina Septiriana, S.T., M.Cs.</v>
      </c>
      <c r="L77" s="138" t="str">
        <f>IF('PROGRAM JADWAL GASAL'!R78="","",'PROGRAM JADWAL GASAL'!R78)</f>
        <v>ONLINE</v>
      </c>
    </row>
    <row r="78" spans="1:12" ht="34.950000000000003" customHeight="1" x14ac:dyDescent="0.3">
      <c r="A78" s="281"/>
      <c r="B78" s="133">
        <f>IF('PROGRAM JADWAL GASAL'!C79="","",'PROGRAM JADWAL GASAL'!C79)</f>
        <v>0.3125</v>
      </c>
      <c r="C78" s="134" t="str">
        <f>IF('PROGRAM JADWAL GASAL'!D79="","",'PROGRAM JADWAL GASAL'!D79)</f>
        <v>s/d</v>
      </c>
      <c r="D78" s="135">
        <f>IF('PROGRAM JADWAL GASAL'!E79="","",'PROGRAM JADWAL GASAL'!E79)</f>
        <v>0.41666666666666669</v>
      </c>
      <c r="E78" s="136" t="str">
        <f>IF('PROGRAM JADWAL GASAL'!H79="","",'PROGRAM JADWAL GASAL'!H79)</f>
        <v>INF-55201-304</v>
      </c>
      <c r="F78" s="137" t="str">
        <f>IF('PROGRAM JADWAL GASAL'!I79="","",'PROGRAM JADWAL GASAL'!I79)</f>
        <v>Sistem Tertanam*</v>
      </c>
      <c r="G78" s="138" t="str">
        <f>IF('PROGRAM JADWAL GASAL'!M79="","",'PROGRAM JADWAL GASAL'!M79)</f>
        <v>C</v>
      </c>
      <c r="H78" s="139">
        <f>IF('PROGRAM JADWAL GASAL'!N79="","",'PROGRAM JADWAL GASAL'!N79)</f>
        <v>5</v>
      </c>
      <c r="I78" s="139">
        <f>IF('PROGRAM JADWAL GASAL'!O79="","",'PROGRAM JADWAL GASAL'!O79)</f>
        <v>3</v>
      </c>
      <c r="J78" s="139">
        <f>IF('PROGRAM JADWAL GASAL'!P79="","",'PROGRAM JADWAL GASAL'!P79)</f>
        <v>20</v>
      </c>
      <c r="K78" s="136" t="str">
        <f>IF('PROGRAM JADWAL GASAL'!Q79="","",'PROGRAM JADWAL GASAL'!Q79)</f>
        <v>Hafiz Muhardi, S.T., M.Kom</v>
      </c>
      <c r="L78" s="138" t="str">
        <f>IF('PROGRAM JADWAL GASAL'!R79="","",'PROGRAM JADWAL GASAL'!R79)</f>
        <v>ONLINE</v>
      </c>
    </row>
    <row r="79" spans="1:12" ht="34.799999999999997" customHeight="1" x14ac:dyDescent="0.3">
      <c r="A79" s="281"/>
      <c r="B79" s="143">
        <f>IF('PROGRAM JADWAL GASAL'!C80="","",'PROGRAM JADWAL GASAL'!C80)</f>
        <v>0.3125</v>
      </c>
      <c r="C79" s="144" t="str">
        <f>IF('PROGRAM JADWAL GASAL'!D80="","",'PROGRAM JADWAL GASAL'!D80)</f>
        <v>s/d</v>
      </c>
      <c r="D79" s="145">
        <f>IF('PROGRAM JADWAL GASAL'!E80="","",'PROGRAM JADWAL GASAL'!E80)</f>
        <v>0.41666666666666669</v>
      </c>
      <c r="E79" s="136" t="str">
        <f>IF('PROGRAM JADWAL GASAL'!H80="","",'PROGRAM JADWAL GASAL'!H80)</f>
        <v>INF­55201­533</v>
      </c>
      <c r="F79" s="137" t="str">
        <f>IF('PROGRAM JADWAL GASAL'!I80="","",'PROGRAM JADWAL GASAL'!I80)</f>
        <v>Sistem  Informasi  Geografis II</v>
      </c>
      <c r="G79" s="138" t="str">
        <f>IF('PROGRAM JADWAL GASAL'!M80="","",'PROGRAM JADWAL GASAL'!M80)</f>
        <v>A</v>
      </c>
      <c r="H79" s="139">
        <f>IF('PROGRAM JADWAL GASAL'!N80="","",'PROGRAM JADWAL GASAL'!N80)</f>
        <v>7</v>
      </c>
      <c r="I79" s="139">
        <f>IF('PROGRAM JADWAL GASAL'!O80="","",'PROGRAM JADWAL GASAL'!O80)</f>
        <v>3</v>
      </c>
      <c r="J79" s="139">
        <f>IF('PROGRAM JADWAL GASAL'!P80="","",'PROGRAM JADWAL GASAL'!P80)</f>
        <v>20</v>
      </c>
      <c r="K79" s="136" t="str">
        <f>IF('PROGRAM JADWAL GASAL'!Q80="","",'PROGRAM JADWAL GASAL'!Q80)</f>
        <v>Dr. Yus Sholva, S.T., M.T. / M.Azhar Irwansyah, S.T.,M.Eng.</v>
      </c>
      <c r="L79" s="138" t="str">
        <f>IF('PROGRAM JADWAL GASAL'!R80="","",'PROGRAM JADWAL GASAL'!R80)</f>
        <v>ONLINE</v>
      </c>
    </row>
    <row r="80" spans="1:12" ht="34.799999999999997" customHeight="1" x14ac:dyDescent="0.3">
      <c r="A80" s="281"/>
      <c r="B80" s="133">
        <f>IF('PROGRAM JADWAL GASAL'!C81="","",'PROGRAM JADWAL GASAL'!C81)</f>
        <v>0.3125</v>
      </c>
      <c r="C80" s="134" t="str">
        <f>IF('PROGRAM JADWAL GASAL'!D81="","",'PROGRAM JADWAL GASAL'!D81)</f>
        <v>s/d</v>
      </c>
      <c r="D80" s="135">
        <f>IF('PROGRAM JADWAL GASAL'!E81="","",'PROGRAM JADWAL GASAL'!E81)</f>
        <v>0.41666666666666669</v>
      </c>
      <c r="E80" s="136" t="str">
        <f>IF('PROGRAM JADWAL GASAL'!H81="","",'PROGRAM JADWAL GASAL'!H81)</f>
        <v>INF-55201-207</v>
      </c>
      <c r="F80" s="137" t="str">
        <f>IF('PROGRAM JADWAL GASAL'!I81="","",'PROGRAM JADWAL GASAL'!I81)</f>
        <v>Sistem Operasi*</v>
      </c>
      <c r="G80" s="138" t="str">
        <f>IF('PROGRAM JADWAL GASAL'!M81="","",'PROGRAM JADWAL GASAL'!M81)</f>
        <v>D</v>
      </c>
      <c r="H80" s="139">
        <f>IF('PROGRAM JADWAL GASAL'!N81="","",'PROGRAM JADWAL GASAL'!N81)</f>
        <v>3</v>
      </c>
      <c r="I80" s="139">
        <f>IF('PROGRAM JADWAL GASAL'!O81="","",'PROGRAM JADWAL GASAL'!O81)</f>
        <v>3</v>
      </c>
      <c r="J80" s="139">
        <f>IF('PROGRAM JADWAL GASAL'!P81="","",'PROGRAM JADWAL GASAL'!P81)</f>
        <v>20</v>
      </c>
      <c r="K80" s="136" t="str">
        <f>IF('PROGRAM JADWAL GASAL'!Q81="","",'PROGRAM JADWAL GASAL'!Q81)</f>
        <v>Helfi Nasution, S.Kom, M.Cs / Desepta Isna Ulumi, S.Kom, M.Kom.</v>
      </c>
      <c r="L80" s="138" t="str">
        <f>IF('PROGRAM JADWAL GASAL'!R81="","",'PROGRAM JADWAL GASAL'!R81)</f>
        <v>ONLINE</v>
      </c>
    </row>
    <row r="81" spans="1:12" ht="34.950000000000003" customHeight="1" x14ac:dyDescent="0.3">
      <c r="A81" s="281"/>
      <c r="B81" s="143" t="str">
        <f>IF('PROGRAM JADWAL GASAL'!C82="","",'PROGRAM JADWAL GASAL'!C82)</f>
        <v/>
      </c>
      <c r="C81" s="144" t="str">
        <f>IF('PROGRAM JADWAL GASAL'!D82="","",'PROGRAM JADWAL GASAL'!D82)</f>
        <v/>
      </c>
      <c r="D81" s="145" t="str">
        <f>IF('PROGRAM JADWAL GASAL'!E82="","",'PROGRAM JADWAL GASAL'!E82)</f>
        <v/>
      </c>
      <c r="E81" s="136" t="str">
        <f>IF('PROGRAM JADWAL GASAL'!H82="","",'PROGRAM JADWAL GASAL'!H82)</f>
        <v/>
      </c>
      <c r="F81" s="137" t="str">
        <f>IF('PROGRAM JADWAL GASAL'!I82="","",'PROGRAM JADWAL GASAL'!I82)</f>
        <v/>
      </c>
      <c r="G81" s="138" t="str">
        <f>IF('PROGRAM JADWAL GASAL'!M82="","",'PROGRAM JADWAL GASAL'!M82)</f>
        <v/>
      </c>
      <c r="H81" s="139" t="str">
        <f>IF('PROGRAM JADWAL GASAL'!N82="","",'PROGRAM JADWAL GASAL'!N82)</f>
        <v/>
      </c>
      <c r="I81" s="139" t="str">
        <f>IF('PROGRAM JADWAL GASAL'!O82="","",'PROGRAM JADWAL GASAL'!O82)</f>
        <v/>
      </c>
      <c r="J81" s="139" t="str">
        <f>IF('PROGRAM JADWAL GASAL'!P82="","",'PROGRAM JADWAL GASAL'!P82)</f>
        <v/>
      </c>
      <c r="K81" s="136" t="str">
        <f>IF('PROGRAM JADWAL GASAL'!Q82="","",'PROGRAM JADWAL GASAL'!Q82)</f>
        <v/>
      </c>
      <c r="L81" s="138" t="str">
        <f>IF('PROGRAM JADWAL GASAL'!R82="","",'PROGRAM JADWAL GASAL'!R82)</f>
        <v/>
      </c>
    </row>
    <row r="82" spans="1:12" ht="34.950000000000003" customHeight="1" x14ac:dyDescent="0.3">
      <c r="A82" s="281"/>
      <c r="B82" s="133">
        <f>IF('PROGRAM JADWAL GASAL'!C83="","",'PROGRAM JADWAL GASAL'!C83)</f>
        <v>0.4236111111111111</v>
      </c>
      <c r="C82" s="134" t="str">
        <f>IF('PROGRAM JADWAL GASAL'!D83="","",'PROGRAM JADWAL GASAL'!D83)</f>
        <v>s/d</v>
      </c>
      <c r="D82" s="135">
        <f>IF('PROGRAM JADWAL GASAL'!E83="","",'PROGRAM JADWAL GASAL'!E83)</f>
        <v>0.49305555555555558</v>
      </c>
      <c r="E82" s="136" t="str">
        <f>IF('PROGRAM JADWAL GASAL'!H83="","",'PROGRAM JADWAL GASAL'!H83)</f>
        <v>INF-55201-103</v>
      </c>
      <c r="F82" s="137" t="str">
        <f>IF('PROGRAM JADWAL GASAL'!I83="","",'PROGRAM JADWAL GASAL'!I83)</f>
        <v>Dasar  Pemrograman*</v>
      </c>
      <c r="G82" s="138" t="str">
        <f>IF('PROGRAM JADWAL GASAL'!M83="","",'PROGRAM JADWAL GASAL'!M83)</f>
        <v>A</v>
      </c>
      <c r="H82" s="139">
        <f>IF('PROGRAM JADWAL GASAL'!N83="","",'PROGRAM JADWAL GASAL'!N83)</f>
        <v>1</v>
      </c>
      <c r="I82" s="139">
        <f>IF('PROGRAM JADWAL GASAL'!O83="","",'PROGRAM JADWAL GASAL'!O83)</f>
        <v>4</v>
      </c>
      <c r="J82" s="139">
        <f>IF('PROGRAM JADWAL GASAL'!P83="","",'PROGRAM JADWAL GASAL'!P83)</f>
        <v>35</v>
      </c>
      <c r="K82" s="136" t="str">
        <f>IF('PROGRAM JADWAL GASAL'!Q83="","",'PROGRAM JADWAL GASAL'!Q83)</f>
        <v>Dr. Arif BPN, S.T., M.T.</v>
      </c>
      <c r="L82" s="138" t="str">
        <f>IF('PROGRAM JADWAL GASAL'!R83="","",'PROGRAM JADWAL GASAL'!R83)</f>
        <v>ONLINE</v>
      </c>
    </row>
    <row r="83" spans="1:12" ht="34.950000000000003" customHeight="1" x14ac:dyDescent="0.3">
      <c r="A83" s="281"/>
      <c r="B83" s="143">
        <f>IF('PROGRAM JADWAL GASAL'!C84="","",'PROGRAM JADWAL GASAL'!C84)</f>
        <v>0.4236111111111111</v>
      </c>
      <c r="C83" s="144" t="str">
        <f>IF('PROGRAM JADWAL GASAL'!D84="","",'PROGRAM JADWAL GASAL'!D84)</f>
        <v>s/d</v>
      </c>
      <c r="D83" s="145">
        <f>IF('PROGRAM JADWAL GASAL'!E84="","",'PROGRAM JADWAL GASAL'!E84)</f>
        <v>0.49305555555555558</v>
      </c>
      <c r="E83" s="136" t="str">
        <f>IF('PROGRAM JADWAL GASAL'!H84="","",'PROGRAM JADWAL GASAL'!H84)</f>
        <v>INF-55201-205</v>
      </c>
      <c r="F83" s="137" t="str">
        <f>IF('PROGRAM JADWAL GASAL'!I84="","",'PROGRAM JADWAL GASAL'!I84)</f>
        <v>Jaringan  Komputer *</v>
      </c>
      <c r="G83" s="138" t="str">
        <f>IF('PROGRAM JADWAL GASAL'!M84="","",'PROGRAM JADWAL GASAL'!M84)</f>
        <v>B</v>
      </c>
      <c r="H83" s="139">
        <f>IF('PROGRAM JADWAL GASAL'!N84="","",'PROGRAM JADWAL GASAL'!N84)</f>
        <v>3</v>
      </c>
      <c r="I83" s="139">
        <f>IF('PROGRAM JADWAL GASAL'!O84="","",'PROGRAM JADWAL GASAL'!O84)</f>
        <v>4</v>
      </c>
      <c r="J83" s="139">
        <f>IF('PROGRAM JADWAL GASAL'!P84="","",'PROGRAM JADWAL GASAL'!P84)</f>
        <v>25</v>
      </c>
      <c r="K83" s="136" t="str">
        <f>IF('PROGRAM JADWAL GASAL'!Q84="","",'PROGRAM JADWAL GASAL'!Q84)</f>
        <v>M.Azhar Irwansyah, S.T.,M.Eng. / Alfian Abdul Jalid, S.Kom., M.Cs.</v>
      </c>
      <c r="L83" s="138" t="str">
        <f>IF('PROGRAM JADWAL GASAL'!R84="","",'PROGRAM JADWAL GASAL'!R84)</f>
        <v>ONLINE</v>
      </c>
    </row>
    <row r="84" spans="1:12" ht="34.950000000000003" customHeight="1" x14ac:dyDescent="0.3">
      <c r="A84" s="281"/>
      <c r="B84" s="133">
        <f>IF('PROGRAM JADWAL GASAL'!C85="","",'PROGRAM JADWAL GASAL'!C85)</f>
        <v>0.4236111111111111</v>
      </c>
      <c r="C84" s="134" t="str">
        <f>IF('PROGRAM JADWAL GASAL'!D85="","",'PROGRAM JADWAL GASAL'!D85)</f>
        <v>s/d</v>
      </c>
      <c r="D84" s="135">
        <f>IF('PROGRAM JADWAL GASAL'!E85="","",'PROGRAM JADWAL GASAL'!E85)</f>
        <v>0.49305555555555558</v>
      </c>
      <c r="E84" s="136" t="str">
        <f>IF('PROGRAM JADWAL GASAL'!H85="","",'PROGRAM JADWAL GASAL'!H85)</f>
        <v>INF-55201-206</v>
      </c>
      <c r="F84" s="137" t="str">
        <f>IF('PROGRAM JADWAL GASAL'!I85="","",'PROGRAM JADWAL GASAL'!I85)</f>
        <v>Strategi Algoritma*</v>
      </c>
      <c r="G84" s="138" t="str">
        <f>IF('PROGRAM JADWAL GASAL'!M85="","",'PROGRAM JADWAL GASAL'!M85)</f>
        <v>C</v>
      </c>
      <c r="H84" s="139">
        <f>IF('PROGRAM JADWAL GASAL'!N85="","",'PROGRAM JADWAL GASAL'!N85)</f>
        <v>3</v>
      </c>
      <c r="I84" s="139">
        <f>IF('PROGRAM JADWAL GASAL'!O85="","",'PROGRAM JADWAL GASAL'!O85)</f>
        <v>4</v>
      </c>
      <c r="J84" s="139">
        <f>IF('PROGRAM JADWAL GASAL'!P85="","",'PROGRAM JADWAL GASAL'!P85)</f>
        <v>25</v>
      </c>
      <c r="K84" s="136" t="str">
        <f>IF('PROGRAM JADWAL GASAL'!Q85="","",'PROGRAM JADWAL GASAL'!Q85)</f>
        <v>Morteza Muthahhari, S.Kom., M.T.I</v>
      </c>
      <c r="L84" s="138" t="str">
        <f>IF('PROGRAM JADWAL GASAL'!R85="","",'PROGRAM JADWAL GASAL'!R85)</f>
        <v>ONLINE</v>
      </c>
    </row>
    <row r="85" spans="1:12" ht="34.950000000000003" customHeight="1" x14ac:dyDescent="0.3">
      <c r="A85" s="281"/>
      <c r="B85" s="143">
        <f>IF('PROGRAM JADWAL GASAL'!C86="","",'PROGRAM JADWAL GASAL'!C86)</f>
        <v>0.4236111111111111</v>
      </c>
      <c r="C85" s="144" t="str">
        <f>IF('PROGRAM JADWAL GASAL'!D86="","",'PROGRAM JADWAL GASAL'!D86)</f>
        <v>s/d</v>
      </c>
      <c r="D85" s="145">
        <f>IF('PROGRAM JADWAL GASAL'!E86="","",'PROGRAM JADWAL GASAL'!E86)</f>
        <v>0.49305555555555558</v>
      </c>
      <c r="E85" s="136" t="str">
        <f>IF('PROGRAM JADWAL GASAL'!H86="","",'PROGRAM JADWAL GASAL'!H86)</f>
        <v>INF-55201-302</v>
      </c>
      <c r="F85" s="137" t="str">
        <f>IF('PROGRAM JADWAL GASAL'!I86="","",'PROGRAM JADWAL GASAL'!I86)</f>
        <v>Pemrograman  Web *</v>
      </c>
      <c r="G85" s="138" t="str">
        <f>IF('PROGRAM JADWAL GASAL'!M86="","",'PROGRAM JADWAL GASAL'!M86)</f>
        <v>A</v>
      </c>
      <c r="H85" s="139">
        <f>IF('PROGRAM JADWAL GASAL'!N86="","",'PROGRAM JADWAL GASAL'!N86)</f>
        <v>5</v>
      </c>
      <c r="I85" s="139">
        <f>IF('PROGRAM JADWAL GASAL'!O86="","",'PROGRAM JADWAL GASAL'!O86)</f>
        <v>4</v>
      </c>
      <c r="J85" s="139">
        <f>IF('PROGRAM JADWAL GASAL'!P86="","",'PROGRAM JADWAL GASAL'!P86)</f>
        <v>25</v>
      </c>
      <c r="K85" s="136" t="str">
        <f>IF('PROGRAM JADWAL GASAL'!Q86="","",'PROGRAM JADWAL GASAL'!Q86)</f>
        <v>Enda Esyudha Pratama, S.T., M.T. / Fauzan Asrin, S.Kom, M. Kom.</v>
      </c>
      <c r="L85" s="138" t="str">
        <f>IF('PROGRAM JADWAL GASAL'!R86="","",'PROGRAM JADWAL GASAL'!R86)</f>
        <v>ONLINE</v>
      </c>
    </row>
    <row r="86" spans="1:12" ht="34.950000000000003" customHeight="1" x14ac:dyDescent="0.3">
      <c r="A86" s="281"/>
      <c r="B86" s="133">
        <f>IF('PROGRAM JADWAL GASAL'!C87="","",'PROGRAM JADWAL GASAL'!C87)</f>
        <v>0.4236111111111111</v>
      </c>
      <c r="C86" s="134" t="str">
        <f>IF('PROGRAM JADWAL GASAL'!D87="","",'PROGRAM JADWAL GASAL'!D87)</f>
        <v>s/d</v>
      </c>
      <c r="D86" s="135">
        <f>IF('PROGRAM JADWAL GASAL'!E87="","",'PROGRAM JADWAL GASAL'!E87)</f>
        <v>0.49305555555555558</v>
      </c>
      <c r="E86" s="136" t="str">
        <f>IF('PROGRAM JADWAL GASAL'!H87="","",'PROGRAM JADWAL GASAL'!H87)</f>
        <v>INF-55201-306</v>
      </c>
      <c r="F86" s="137" t="str">
        <f>IF('PROGRAM JADWAL GASAL'!I87="","",'PROGRAM JADWAL GASAL'!I87)</f>
        <v>Manajemen  Proyek  Perangkat  Lunak</v>
      </c>
      <c r="G86" s="138" t="str">
        <f>IF('PROGRAM JADWAL GASAL'!M87="","",'PROGRAM JADWAL GASAL'!M87)</f>
        <v>D</v>
      </c>
      <c r="H86" s="139">
        <f>IF('PROGRAM JADWAL GASAL'!N87="","",'PROGRAM JADWAL GASAL'!N87)</f>
        <v>5</v>
      </c>
      <c r="I86" s="139">
        <f>IF('PROGRAM JADWAL GASAL'!O87="","",'PROGRAM JADWAL GASAL'!O87)</f>
        <v>2</v>
      </c>
      <c r="J86" s="139">
        <f>IF('PROGRAM JADWAL GASAL'!P87="","",'PROGRAM JADWAL GASAL'!P87)</f>
        <v>20</v>
      </c>
      <c r="K86" s="136" t="str">
        <f>IF('PROGRAM JADWAL GASAL'!Q87="","",'PROGRAM JADWAL GASAL'!Q87)</f>
        <v>Anggi Perwitasari, S.T., M.T. / Desepta Isna Ulumi, S.Kom, M.Kom.</v>
      </c>
      <c r="L86" s="138" t="str">
        <f>IF('PROGRAM JADWAL GASAL'!R87="","",'PROGRAM JADWAL GASAL'!R87)</f>
        <v>ONLINE</v>
      </c>
    </row>
    <row r="87" spans="1:12" ht="34.950000000000003" customHeight="1" x14ac:dyDescent="0.3">
      <c r="A87" s="281"/>
      <c r="B87" s="143" t="str">
        <f>IF('PROGRAM JADWAL GASAL'!C88="","",'PROGRAM JADWAL GASAL'!C88)</f>
        <v/>
      </c>
      <c r="C87" s="144" t="str">
        <f>IF('PROGRAM JADWAL GASAL'!D88="","",'PROGRAM JADWAL GASAL'!D88)</f>
        <v/>
      </c>
      <c r="D87" s="145" t="str">
        <f>IF('PROGRAM JADWAL GASAL'!E88="","",'PROGRAM JADWAL GASAL'!E88)</f>
        <v/>
      </c>
      <c r="E87" s="136" t="str">
        <f>IF('PROGRAM JADWAL GASAL'!H88="","",'PROGRAM JADWAL GASAL'!H88)</f>
        <v/>
      </c>
      <c r="F87" s="137" t="str">
        <f>IF('PROGRAM JADWAL GASAL'!I88="","",'PROGRAM JADWAL GASAL'!I88)</f>
        <v/>
      </c>
      <c r="G87" s="138" t="str">
        <f>IF('PROGRAM JADWAL GASAL'!M88="","",'PROGRAM JADWAL GASAL'!M88)</f>
        <v/>
      </c>
      <c r="H87" s="139" t="str">
        <f>IF('PROGRAM JADWAL GASAL'!N88="","",'PROGRAM JADWAL GASAL'!N88)</f>
        <v/>
      </c>
      <c r="I87" s="139" t="str">
        <f>IF('PROGRAM JADWAL GASAL'!O88="","",'PROGRAM JADWAL GASAL'!O88)</f>
        <v/>
      </c>
      <c r="J87" s="139" t="str">
        <f>IF('PROGRAM JADWAL GASAL'!P88="","",'PROGRAM JADWAL GASAL'!P88)</f>
        <v/>
      </c>
      <c r="K87" s="136" t="str">
        <f>IF('PROGRAM JADWAL GASAL'!Q88="","",'PROGRAM JADWAL GASAL'!Q88)</f>
        <v/>
      </c>
      <c r="L87" s="138" t="str">
        <f>IF('PROGRAM JADWAL GASAL'!R88="","",'PROGRAM JADWAL GASAL'!R88)</f>
        <v/>
      </c>
    </row>
    <row r="88" spans="1:12" ht="34.950000000000003" customHeight="1" x14ac:dyDescent="0.3">
      <c r="A88" s="281"/>
      <c r="B88" s="133">
        <f>IF('PROGRAM JADWAL GASAL'!C89="","",'PROGRAM JADWAL GASAL'!C89)</f>
        <v>0.53125</v>
      </c>
      <c r="C88" s="134" t="str">
        <f>IF('PROGRAM JADWAL GASAL'!D89="","",'PROGRAM JADWAL GASAL'!D89)</f>
        <v>s/d</v>
      </c>
      <c r="D88" s="135">
        <f>IF('PROGRAM JADWAL GASAL'!E89="","",'PROGRAM JADWAL GASAL'!E89)</f>
        <v>0.60069444444444442</v>
      </c>
      <c r="E88" s="136" t="str">
        <f>IF('PROGRAM JADWAL GASAL'!H89="","",'PROGRAM JADWAL GASAL'!H89)</f>
        <v>INF-55201-103</v>
      </c>
      <c r="F88" s="137" t="str">
        <f>IF('PROGRAM JADWAL GASAL'!I89="","",'PROGRAM JADWAL GASAL'!I89)</f>
        <v>Dasar  Pemrograman*</v>
      </c>
      <c r="G88" s="138" t="str">
        <f>IF('PROGRAM JADWAL GASAL'!M89="","",'PROGRAM JADWAL GASAL'!M89)</f>
        <v>A</v>
      </c>
      <c r="H88" s="139">
        <f>IF('PROGRAM JADWAL GASAL'!N89="","",'PROGRAM JADWAL GASAL'!N89)</f>
        <v>1</v>
      </c>
      <c r="I88" s="139">
        <f>IF('PROGRAM JADWAL GASAL'!O89="","",'PROGRAM JADWAL GASAL'!O89)</f>
        <v>4</v>
      </c>
      <c r="J88" s="139">
        <f>IF('PROGRAM JADWAL GASAL'!P89="","",'PROGRAM JADWAL GASAL'!P89)</f>
        <v>35</v>
      </c>
      <c r="K88" s="136" t="str">
        <f>IF('PROGRAM JADWAL GASAL'!Q89="","",'PROGRAM JADWAL GASAL'!Q89)</f>
        <v>Dr. Arif BPN, S.T., M.T.</v>
      </c>
      <c r="L88" s="138" t="str">
        <f>IF('PROGRAM JADWAL GASAL'!R89="","",'PROGRAM JADWAL GASAL'!R89)</f>
        <v>ONLINE</v>
      </c>
    </row>
    <row r="89" spans="1:12" ht="34.950000000000003" customHeight="1" x14ac:dyDescent="0.3">
      <c r="A89" s="281"/>
      <c r="B89" s="143">
        <f>IF('PROGRAM JADWAL GASAL'!C90="","",'PROGRAM JADWAL GASAL'!C90)</f>
        <v>0.53125</v>
      </c>
      <c r="C89" s="144" t="str">
        <f>IF('PROGRAM JADWAL GASAL'!D90="","",'PROGRAM JADWAL GASAL'!D90)</f>
        <v>s/d</v>
      </c>
      <c r="D89" s="145">
        <f>IF('PROGRAM JADWAL GASAL'!E90="","",'PROGRAM JADWAL GASAL'!E90)</f>
        <v>0.60069444444444442</v>
      </c>
      <c r="E89" s="136" t="str">
        <f>IF('PROGRAM JADWAL GASAL'!H90="","",'PROGRAM JADWAL GASAL'!H90)</f>
        <v>INF-55201-205</v>
      </c>
      <c r="F89" s="137" t="str">
        <f>IF('PROGRAM JADWAL GASAL'!I90="","",'PROGRAM JADWAL GASAL'!I90)</f>
        <v>Jaringan  Komputer *</v>
      </c>
      <c r="G89" s="138" t="str">
        <f>IF('PROGRAM JADWAL GASAL'!M90="","",'PROGRAM JADWAL GASAL'!M90)</f>
        <v>B</v>
      </c>
      <c r="H89" s="139">
        <f>IF('PROGRAM JADWAL GASAL'!N90="","",'PROGRAM JADWAL GASAL'!N90)</f>
        <v>3</v>
      </c>
      <c r="I89" s="139">
        <f>IF('PROGRAM JADWAL GASAL'!O90="","",'PROGRAM JADWAL GASAL'!O90)</f>
        <v>4</v>
      </c>
      <c r="J89" s="139">
        <f>IF('PROGRAM JADWAL GASAL'!P90="","",'PROGRAM JADWAL GASAL'!P90)</f>
        <v>25</v>
      </c>
      <c r="K89" s="136" t="str">
        <f>IF('PROGRAM JADWAL GASAL'!Q90="","",'PROGRAM JADWAL GASAL'!Q90)</f>
        <v>M.Azhar Irwansyah, S.T.,M.Eng. / Alfian Abdul Jalid, S.Kom., M.Cs.</v>
      </c>
      <c r="L89" s="138" t="str">
        <f>IF('PROGRAM JADWAL GASAL'!R90="","",'PROGRAM JADWAL GASAL'!R90)</f>
        <v>ONLINE</v>
      </c>
    </row>
    <row r="90" spans="1:12" ht="34.950000000000003" customHeight="1" x14ac:dyDescent="0.3">
      <c r="A90" s="281"/>
      <c r="B90" s="133">
        <f>IF('PROGRAM JADWAL GASAL'!C91="","",'PROGRAM JADWAL GASAL'!C91)</f>
        <v>0.53125</v>
      </c>
      <c r="C90" s="134" t="str">
        <f>IF('PROGRAM JADWAL GASAL'!D91="","",'PROGRAM JADWAL GASAL'!D91)</f>
        <v>s/d</v>
      </c>
      <c r="D90" s="135">
        <f>IF('PROGRAM JADWAL GASAL'!E91="","",'PROGRAM JADWAL GASAL'!E91)</f>
        <v>0.60069444444444442</v>
      </c>
      <c r="E90" s="136" t="str">
        <f>IF('PROGRAM JADWAL GASAL'!H91="","",'PROGRAM JADWAL GASAL'!H91)</f>
        <v>INF-55201-206</v>
      </c>
      <c r="F90" s="137" t="str">
        <f>IF('PROGRAM JADWAL GASAL'!I91="","",'PROGRAM JADWAL GASAL'!I91)</f>
        <v>Strategi Algoritma*</v>
      </c>
      <c r="G90" s="138" t="str">
        <f>IF('PROGRAM JADWAL GASAL'!M91="","",'PROGRAM JADWAL GASAL'!M91)</f>
        <v>C</v>
      </c>
      <c r="H90" s="139">
        <f>IF('PROGRAM JADWAL GASAL'!N91="","",'PROGRAM JADWAL GASAL'!N91)</f>
        <v>3</v>
      </c>
      <c r="I90" s="139">
        <f>IF('PROGRAM JADWAL GASAL'!O91="","",'PROGRAM JADWAL GASAL'!O91)</f>
        <v>4</v>
      </c>
      <c r="J90" s="139">
        <f>IF('PROGRAM JADWAL GASAL'!P91="","",'PROGRAM JADWAL GASAL'!P91)</f>
        <v>25</v>
      </c>
      <c r="K90" s="136" t="str">
        <f>IF('PROGRAM JADWAL GASAL'!Q91="","",'PROGRAM JADWAL GASAL'!Q91)</f>
        <v>Morteza Muthahhari, S.Kom., M.T.I</v>
      </c>
      <c r="L90" s="138" t="str">
        <f>IF('PROGRAM JADWAL GASAL'!R91="","",'PROGRAM JADWAL GASAL'!R91)</f>
        <v>ONLINE</v>
      </c>
    </row>
    <row r="91" spans="1:12" ht="34.950000000000003" customHeight="1" x14ac:dyDescent="0.3">
      <c r="A91" s="281"/>
      <c r="B91" s="143">
        <f>IF('PROGRAM JADWAL GASAL'!C92="","",'PROGRAM JADWAL GASAL'!C92)</f>
        <v>0.53125</v>
      </c>
      <c r="C91" s="144" t="str">
        <f>IF('PROGRAM JADWAL GASAL'!D92="","",'PROGRAM JADWAL GASAL'!D92)</f>
        <v>s/d</v>
      </c>
      <c r="D91" s="145">
        <f>IF('PROGRAM JADWAL GASAL'!E92="","",'PROGRAM JADWAL GASAL'!E92)</f>
        <v>0.60069444444444442</v>
      </c>
      <c r="E91" s="136" t="str">
        <f>IF('PROGRAM JADWAL GASAL'!H92="","",'PROGRAM JADWAL GASAL'!H92)</f>
        <v>INF-55201-302</v>
      </c>
      <c r="F91" s="137" t="str">
        <f>IF('PROGRAM JADWAL GASAL'!I92="","",'PROGRAM JADWAL GASAL'!I92)</f>
        <v>Pemrograman  Web *</v>
      </c>
      <c r="G91" s="138" t="str">
        <f>IF('PROGRAM JADWAL GASAL'!M92="","",'PROGRAM JADWAL GASAL'!M92)</f>
        <v>A</v>
      </c>
      <c r="H91" s="139">
        <f>IF('PROGRAM JADWAL GASAL'!N92="","",'PROGRAM JADWAL GASAL'!N92)</f>
        <v>5</v>
      </c>
      <c r="I91" s="139">
        <f>IF('PROGRAM JADWAL GASAL'!O92="","",'PROGRAM JADWAL GASAL'!O92)</f>
        <v>4</v>
      </c>
      <c r="J91" s="139">
        <f>IF('PROGRAM JADWAL GASAL'!P92="","",'PROGRAM JADWAL GASAL'!P92)</f>
        <v>25</v>
      </c>
      <c r="K91" s="136" t="str">
        <f>IF('PROGRAM JADWAL GASAL'!Q92="","",'PROGRAM JADWAL GASAL'!Q92)</f>
        <v>Enda Esyudha Pratama, S.T., M.T. / Fauzan Asrin, S.Kom, M. Kom.</v>
      </c>
      <c r="L91" s="138" t="str">
        <f>IF('PROGRAM JADWAL GASAL'!R92="","",'PROGRAM JADWAL GASAL'!R92)</f>
        <v>ONLINE</v>
      </c>
    </row>
    <row r="92" spans="1:12" ht="34.950000000000003" customHeight="1" x14ac:dyDescent="0.3">
      <c r="A92" s="281"/>
      <c r="B92" s="133">
        <f>IF('PROGRAM JADWAL GASAL'!C93="","",'PROGRAM JADWAL GASAL'!C93)</f>
        <v>0.53125</v>
      </c>
      <c r="C92" s="134" t="str">
        <f>IF('PROGRAM JADWAL GASAL'!D93="","",'PROGRAM JADWAL GASAL'!D93)</f>
        <v>s/d</v>
      </c>
      <c r="D92" s="135">
        <f>IF('PROGRAM JADWAL GASAL'!E93="","",'PROGRAM JADWAL GASAL'!E93)</f>
        <v>0.60069444444444442</v>
      </c>
      <c r="E92" s="136" t="str">
        <f>IF('PROGRAM JADWAL GASAL'!H93="","",'PROGRAM JADWAL GASAL'!H93)</f>
        <v>INF-55201-306</v>
      </c>
      <c r="F92" s="137" t="str">
        <f>IF('PROGRAM JADWAL GASAL'!I93="","",'PROGRAM JADWAL GASAL'!I93)</f>
        <v>Manajemen  Proyek  Perangkat  Lunak</v>
      </c>
      <c r="G92" s="138" t="str">
        <f>IF('PROGRAM JADWAL GASAL'!M93="","",'PROGRAM JADWAL GASAL'!M93)</f>
        <v>C</v>
      </c>
      <c r="H92" s="139">
        <f>IF('PROGRAM JADWAL GASAL'!N93="","",'PROGRAM JADWAL GASAL'!N93)</f>
        <v>5</v>
      </c>
      <c r="I92" s="139">
        <f>IF('PROGRAM JADWAL GASAL'!O93="","",'PROGRAM JADWAL GASAL'!O93)</f>
        <v>2</v>
      </c>
      <c r="J92" s="139">
        <f>IF('PROGRAM JADWAL GASAL'!P93="","",'PROGRAM JADWAL GASAL'!P93)</f>
        <v>20</v>
      </c>
      <c r="K92" s="136" t="str">
        <f>IF('PROGRAM JADWAL GASAL'!Q93="","",'PROGRAM JADWAL GASAL'!Q93)</f>
        <v>Anggi Perwitasari, S.T., M.T. / Desepta Isna Ulumi, S.Kom, M.Kom.</v>
      </c>
      <c r="L92" s="138" t="str">
        <f>IF('PROGRAM JADWAL GASAL'!R93="","",'PROGRAM JADWAL GASAL'!R93)</f>
        <v>ONLINE</v>
      </c>
    </row>
    <row r="93" spans="1:12" ht="34.950000000000003" customHeight="1" x14ac:dyDescent="0.3">
      <c r="A93" s="281"/>
      <c r="B93" s="143" t="str">
        <f>IF('PROGRAM JADWAL GASAL'!C95="","",'PROGRAM JADWAL GASAL'!C95)</f>
        <v/>
      </c>
      <c r="C93" s="144" t="str">
        <f>IF('PROGRAM JADWAL GASAL'!D95="","",'PROGRAM JADWAL GASAL'!D95)</f>
        <v/>
      </c>
      <c r="D93" s="145" t="str">
        <f>IF('PROGRAM JADWAL GASAL'!E95="","",'PROGRAM JADWAL GASAL'!E95)</f>
        <v/>
      </c>
      <c r="E93" s="136" t="str">
        <f>IF('PROGRAM JADWAL GASAL'!H95="","",'PROGRAM JADWAL GASAL'!H95)</f>
        <v/>
      </c>
      <c r="F93" s="137" t="str">
        <f>IF('PROGRAM JADWAL GASAL'!I95="","",'PROGRAM JADWAL GASAL'!I95)</f>
        <v/>
      </c>
      <c r="G93" s="138" t="str">
        <f>IF('PROGRAM JADWAL GASAL'!M95="","",'PROGRAM JADWAL GASAL'!M95)</f>
        <v/>
      </c>
      <c r="H93" s="139" t="str">
        <f>IF('PROGRAM JADWAL GASAL'!N95="","",'PROGRAM JADWAL GASAL'!N95)</f>
        <v/>
      </c>
      <c r="I93" s="139" t="str">
        <f>IF('PROGRAM JADWAL GASAL'!O95="","",'PROGRAM JADWAL GASAL'!O95)</f>
        <v/>
      </c>
      <c r="J93" s="139" t="str">
        <f>IF('PROGRAM JADWAL GASAL'!P95="","",'PROGRAM JADWAL GASAL'!P95)</f>
        <v/>
      </c>
      <c r="K93" s="136" t="str">
        <f>IF('PROGRAM JADWAL GASAL'!Q95="","",'PROGRAM JADWAL GASAL'!Q95)</f>
        <v/>
      </c>
      <c r="L93" s="138" t="str">
        <f>IF('PROGRAM JADWAL GASAL'!R95="","",'PROGRAM JADWAL GASAL'!R95)</f>
        <v/>
      </c>
    </row>
    <row r="94" spans="1:12" ht="34.950000000000003" customHeight="1" x14ac:dyDescent="0.3">
      <c r="A94" s="281"/>
      <c r="B94" s="133">
        <f>IF('PROGRAM JADWAL GASAL'!C96="","",'PROGRAM JADWAL GASAL'!C96)</f>
        <v>0.60416666666666663</v>
      </c>
      <c r="C94" s="134" t="str">
        <f>IF('PROGRAM JADWAL GASAL'!D96="","",'PROGRAM JADWAL GASAL'!D96)</f>
        <v>s/d</v>
      </c>
      <c r="D94" s="135">
        <f>IF('PROGRAM JADWAL GASAL'!E96="","",'PROGRAM JADWAL GASAL'!E96)</f>
        <v>0.70833333333333326</v>
      </c>
      <c r="E94" s="136" t="str">
        <f>IF('PROGRAM JADWAL GASAL'!H96="","",'PROGRAM JADWAL GASAL'!H96)</f>
        <v>INF-55201-102</v>
      </c>
      <c r="F94" s="137" t="str">
        <f>IF('PROGRAM JADWAL GASAL'!I96="","",'PROGRAM JADWAL GASAL'!I96)</f>
        <v>Logika Informatika</v>
      </c>
      <c r="G94" s="138" t="str">
        <f>IF('PROGRAM JADWAL GASAL'!M96="","",'PROGRAM JADWAL GASAL'!M96)</f>
        <v>B</v>
      </c>
      <c r="H94" s="139">
        <f>IF('PROGRAM JADWAL GASAL'!N96="","",'PROGRAM JADWAL GASAL'!N96)</f>
        <v>1</v>
      </c>
      <c r="I94" s="139">
        <f>IF('PROGRAM JADWAL GASAL'!O96="","",'PROGRAM JADWAL GASAL'!O96)</f>
        <v>3</v>
      </c>
      <c r="J94" s="139">
        <f>IF('PROGRAM JADWAL GASAL'!P96="","",'PROGRAM JADWAL GASAL'!P96)</f>
        <v>35</v>
      </c>
      <c r="K94" s="136" t="str">
        <f>IF('PROGRAM JADWAL GASAL'!Q96="","",'PROGRAM JADWAL GASAL'!Q96)</f>
        <v>Tursina ST, M.Cs / Niken Candraningrum, S.T., M.Cs.</v>
      </c>
      <c r="L94" s="138" t="str">
        <f>IF('PROGRAM JADWAL GASAL'!R96="","",'PROGRAM JADWAL GASAL'!R96)</f>
        <v>ONLINE</v>
      </c>
    </row>
    <row r="95" spans="1:12" ht="34.950000000000003" customHeight="1" x14ac:dyDescent="0.3">
      <c r="A95" s="281"/>
      <c r="B95" s="143">
        <f>IF('PROGRAM JADWAL GASAL'!C97="","",'PROGRAM JADWAL GASAL'!C97)</f>
        <v>0.60416666666666663</v>
      </c>
      <c r="C95" s="144" t="str">
        <f>IF('PROGRAM JADWAL GASAL'!D97="","",'PROGRAM JADWAL GASAL'!D97)</f>
        <v>s/d</v>
      </c>
      <c r="D95" s="145">
        <f>IF('PROGRAM JADWAL GASAL'!E97="","",'PROGRAM JADWAL GASAL'!E97)</f>
        <v>0.70833333333333326</v>
      </c>
      <c r="E95" s="136" t="str">
        <f>IF('PROGRAM JADWAL GASAL'!H97="","",'PROGRAM JADWAL GASAL'!H97)</f>
        <v>INF-55201-203</v>
      </c>
      <c r="F95" s="137" t="str">
        <f>IF('PROGRAM JADWAL GASAL'!I97="","",'PROGRAM JADWAL GASAL'!I97)</f>
        <v>Matematika  Diskrit  </v>
      </c>
      <c r="G95" s="138" t="str">
        <f>IF('PROGRAM JADWAL GASAL'!M97="","",'PROGRAM JADWAL GASAL'!M97)</f>
        <v>C</v>
      </c>
      <c r="H95" s="139">
        <f>IF('PROGRAM JADWAL GASAL'!N97="","",'PROGRAM JADWAL GASAL'!N97)</f>
        <v>3</v>
      </c>
      <c r="I95" s="139">
        <f>IF('PROGRAM JADWAL GASAL'!O97="","",'PROGRAM JADWAL GASAL'!O97)</f>
        <v>3</v>
      </c>
      <c r="J95" s="139">
        <f>IF('PROGRAM JADWAL GASAL'!P97="","",'PROGRAM JADWAL GASAL'!P97)</f>
        <v>25</v>
      </c>
      <c r="K95" s="136" t="str">
        <f>IF('PROGRAM JADWAL GASAL'!Q97="","",'PROGRAM JADWAL GASAL'!Q97)</f>
        <v>Yulianti,S.Kom, MMSI / Khairul Hafidh, S.T., M.Kom.</v>
      </c>
      <c r="L95" s="138" t="str">
        <f>IF('PROGRAM JADWAL GASAL'!R97="","",'PROGRAM JADWAL GASAL'!R97)</f>
        <v>ONLINE</v>
      </c>
    </row>
    <row r="96" spans="1:12" ht="34.950000000000003" customHeight="1" x14ac:dyDescent="0.3">
      <c r="A96" s="281"/>
      <c r="B96" s="133">
        <f>IF('PROGRAM JADWAL GASAL'!C98="","",'PROGRAM JADWAL GASAL'!C98)</f>
        <v>0.60416666666666663</v>
      </c>
      <c r="C96" s="134" t="str">
        <f>IF('PROGRAM JADWAL GASAL'!D98="","",'PROGRAM JADWAL GASAL'!D98)</f>
        <v>s/d</v>
      </c>
      <c r="D96" s="135">
        <f>IF('PROGRAM JADWAL GASAL'!E98="","",'PROGRAM JADWAL GASAL'!E98)</f>
        <v>0.70833333333333326</v>
      </c>
      <c r="E96" s="136" t="str">
        <f>IF('PROGRAM JADWAL GASAL'!H98="","",'PROGRAM JADWAL GASAL'!H98)</f>
        <v>INF-55201-304</v>
      </c>
      <c r="F96" s="137" t="str">
        <f>IF('PROGRAM JADWAL GASAL'!I98="","",'PROGRAM JADWAL GASAL'!I98)</f>
        <v>Sistem Tertanam*</v>
      </c>
      <c r="G96" s="138" t="str">
        <f>IF('PROGRAM JADWAL GASAL'!M98="","",'PROGRAM JADWAL GASAL'!M98)</f>
        <v>B</v>
      </c>
      <c r="H96" s="139">
        <f>IF('PROGRAM JADWAL GASAL'!N98="","",'PROGRAM JADWAL GASAL'!N98)</f>
        <v>5</v>
      </c>
      <c r="I96" s="139">
        <f>IF('PROGRAM JADWAL GASAL'!O98="","",'PROGRAM JADWAL GASAL'!O98)</f>
        <v>3</v>
      </c>
      <c r="J96" s="139">
        <f>IF('PROGRAM JADWAL GASAL'!P98="","",'PROGRAM JADWAL GASAL'!P98)</f>
        <v>20</v>
      </c>
      <c r="K96" s="136" t="str">
        <f>IF('PROGRAM JADWAL GASAL'!Q98="","",'PROGRAM JADWAL GASAL'!Q98)</f>
        <v>Hafiz Muhardi, S.T., M.Kom / Alfian Abdul Jalid, S.Kom., M.Cs.</v>
      </c>
      <c r="L96" s="138" t="str">
        <f>IF('PROGRAM JADWAL GASAL'!R98="","",'PROGRAM JADWAL GASAL'!R98)</f>
        <v>ONLINE</v>
      </c>
    </row>
    <row r="97" spans="1:12" ht="34.950000000000003" customHeight="1" x14ac:dyDescent="0.3">
      <c r="A97" s="281"/>
      <c r="B97" s="143">
        <f>IF('PROGRAM JADWAL GASAL'!C99="","",'PROGRAM JADWAL GASAL'!C99)</f>
        <v>0.60416666666666663</v>
      </c>
      <c r="C97" s="144" t="str">
        <f>IF('PROGRAM JADWAL GASAL'!D99="","",'PROGRAM JADWAL GASAL'!D99)</f>
        <v>s/d</v>
      </c>
      <c r="D97" s="145">
        <f>IF('PROGRAM JADWAL GASAL'!E99="","",'PROGRAM JADWAL GASAL'!E99)</f>
        <v>0.70833333333333326</v>
      </c>
      <c r="E97" s="136" t="str">
        <f>IF('PROGRAM JADWAL GASAL'!H99="","",'PROGRAM JADWAL GASAL'!H99)</f>
        <v>INF-55201-401</v>
      </c>
      <c r="F97" s="137" t="str">
        <f>IF('PROGRAM JADWAL GASAL'!I99="","",'PROGRAM JADWAL GASAL'!I99)</f>
        <v>Teknopreneur*</v>
      </c>
      <c r="G97" s="138" t="str">
        <f>IF('PROGRAM JADWAL GASAL'!M99="","",'PROGRAM JADWAL GASAL'!M99)</f>
        <v>C</v>
      </c>
      <c r="H97" s="139">
        <f>IF('PROGRAM JADWAL GASAL'!N99="","",'PROGRAM JADWAL GASAL'!N99)</f>
        <v>7</v>
      </c>
      <c r="I97" s="139">
        <f>IF('PROGRAM JADWAL GASAL'!O99="","",'PROGRAM JADWAL GASAL'!O99)</f>
        <v>3</v>
      </c>
      <c r="J97" s="139">
        <f>IF('PROGRAM JADWAL GASAL'!P99="","",'PROGRAM JADWAL GASAL'!P99)</f>
        <v>20</v>
      </c>
      <c r="K97" s="136" t="str">
        <f>IF('PROGRAM JADWAL GASAL'!Q99="","",'PROGRAM JADWAL GASAL'!Q99)</f>
        <v>Rudy Dwi Nyoto, S.T., M.Eng</v>
      </c>
      <c r="L97" s="138" t="str">
        <f>IF('PROGRAM JADWAL GASAL'!R99="","",'PROGRAM JADWAL GASAL'!R99)</f>
        <v>ONLINE</v>
      </c>
    </row>
    <row r="98" spans="1:12" ht="34.950000000000003" customHeight="1" x14ac:dyDescent="0.3">
      <c r="A98" s="281"/>
      <c r="B98" s="133">
        <f>IF('PROGRAM JADWAL GASAL'!C100="","",'PROGRAM JADWAL GASAL'!C100)</f>
        <v>0.60416666666666663</v>
      </c>
      <c r="C98" s="134" t="str">
        <f>IF('PROGRAM JADWAL GASAL'!D100="","",'PROGRAM JADWAL GASAL'!D100)</f>
        <v>s/d</v>
      </c>
      <c r="D98" s="135">
        <f>IF('PROGRAM JADWAL GASAL'!E100="","",'PROGRAM JADWAL GASAL'!E100)</f>
        <v>0.70833333333333326</v>
      </c>
      <c r="E98" s="136" t="str">
        <f>IF('PROGRAM JADWAL GASAL'!H100="","",'PROGRAM JADWAL GASAL'!H100)</f>
        <v>INF­55201­531</v>
      </c>
      <c r="F98" s="137" t="str">
        <f>IF('PROGRAM JADWAL GASAL'!I100="","",'PROGRAM JADWAL GASAL'!I100)</f>
        <v xml:space="preserve">Forensik  Digital  </v>
      </c>
      <c r="G98" s="138" t="str">
        <f>IF('PROGRAM JADWAL GASAL'!M100="","",'PROGRAM JADWAL GASAL'!M100)</f>
        <v>B</v>
      </c>
      <c r="H98" s="139">
        <f>IF('PROGRAM JADWAL GASAL'!N100="","",'PROGRAM JADWAL GASAL'!N100)</f>
        <v>7</v>
      </c>
      <c r="I98" s="139">
        <f>IF('PROGRAM JADWAL GASAL'!O100="","",'PROGRAM JADWAL GASAL'!O100)</f>
        <v>3</v>
      </c>
      <c r="J98" s="139">
        <f>IF('PROGRAM JADWAL GASAL'!P100="","",'PROGRAM JADWAL GASAL'!P100)</f>
        <v>20</v>
      </c>
      <c r="K98" s="136" t="str">
        <f>IF('PROGRAM JADWAL GASAL'!Q100="","",'PROGRAM JADWAL GASAL'!Q100)</f>
        <v>Novi Safriadi, S.T., M.T.</v>
      </c>
      <c r="L98" s="138" t="str">
        <f>IF('PROGRAM JADWAL GASAL'!R100="","",'PROGRAM JADWAL GASAL'!R100)</f>
        <v>ONLINE</v>
      </c>
    </row>
    <row r="99" spans="1:12" ht="34.950000000000003" customHeight="1" x14ac:dyDescent="0.3">
      <c r="A99" s="282"/>
      <c r="B99" s="184">
        <f>IF('PROGRAM JADWAL GASAL'!C101="","",'PROGRAM JADWAL GASAL'!C101)</f>
        <v>0.60416666666666663</v>
      </c>
      <c r="C99" s="185" t="str">
        <f>IF('PROGRAM JADWAL GASAL'!D101="","",'PROGRAM JADWAL GASAL'!D101)</f>
        <v>s/d</v>
      </c>
      <c r="D99" s="186">
        <f>IF('PROGRAM JADWAL GASAL'!E101="","",'PROGRAM JADWAL GASAL'!E101)</f>
        <v>0.67361111111111105</v>
      </c>
      <c r="E99" s="187" t="str">
        <f>IF('PROGRAM JADWAL GASAL'!H101="","",'PROGRAM JADWAL GASAL'!H101)</f>
        <v>INF-55201-202</v>
      </c>
      <c r="F99" s="188" t="str">
        <f>IF('PROGRAM JADWAL GASAL'!I101="","",'PROGRAM JADWAL GASAL'!I101)</f>
        <v>Teori  Graf  </v>
      </c>
      <c r="G99" s="189" t="str">
        <f>IF('PROGRAM JADWAL GASAL'!M101="","",'PROGRAM JADWAL GASAL'!M101)</f>
        <v>D</v>
      </c>
      <c r="H99" s="190">
        <f>IF('PROGRAM JADWAL GASAL'!N101="","",'PROGRAM JADWAL GASAL'!N101)</f>
        <v>3</v>
      </c>
      <c r="I99" s="190">
        <f>IF('PROGRAM JADWAL GASAL'!O101="","",'PROGRAM JADWAL GASAL'!O101)</f>
        <v>2</v>
      </c>
      <c r="J99" s="190">
        <f>IF('PROGRAM JADWAL GASAL'!P101="","",'PROGRAM JADWAL GASAL'!P101)</f>
        <v>25</v>
      </c>
      <c r="K99" s="187" t="str">
        <f>IF('PROGRAM JADWAL GASAL'!Q101="","",'PROGRAM JADWAL GASAL'!Q101)</f>
        <v>Haried Novriando, S.Kom, M.Eng</v>
      </c>
      <c r="L99" s="189" t="str">
        <f>IF('PROGRAM JADWAL GASAL'!R101="","",'PROGRAM JADWAL GASAL'!R101)</f>
        <v>ONLINE</v>
      </c>
    </row>
    <row r="100" spans="1:12" ht="34.799999999999997" customHeight="1" x14ac:dyDescent="0.3">
      <c r="A100" s="131"/>
      <c r="B100" s="143" t="str">
        <f>IF('PROGRAM JADWAL GASAL'!C102="","",'PROGRAM JADWAL GASAL'!C102)</f>
        <v/>
      </c>
      <c r="C100" s="144" t="str">
        <f>IF('PROGRAM JADWAL GASAL'!D102="","",'PROGRAM JADWAL GASAL'!D102)</f>
        <v/>
      </c>
      <c r="D100" s="145" t="str">
        <f>IF('PROGRAM JADWAL GASAL'!E102="","",'PROGRAM JADWAL GASAL'!E102)</f>
        <v/>
      </c>
      <c r="E100" s="136" t="str">
        <f>IF('PROGRAM JADWAL GASAL'!H102="","",'PROGRAM JADWAL GASAL'!H102)</f>
        <v/>
      </c>
      <c r="F100" s="137" t="str">
        <f>IF('PROGRAM JADWAL GASAL'!I102="","",'PROGRAM JADWAL GASAL'!I102)</f>
        <v/>
      </c>
      <c r="G100" s="138" t="str">
        <f>IF('PROGRAM JADWAL GASAL'!M102="","",'PROGRAM JADWAL GASAL'!M102)</f>
        <v/>
      </c>
      <c r="H100" s="139" t="str">
        <f>IF('PROGRAM JADWAL GASAL'!N102="","",'PROGRAM JADWAL GASAL'!N102)</f>
        <v/>
      </c>
      <c r="I100" s="139" t="str">
        <f>IF('PROGRAM JADWAL GASAL'!O102="","",'PROGRAM JADWAL GASAL'!O102)</f>
        <v/>
      </c>
      <c r="J100" s="139" t="str">
        <f>IF('PROGRAM JADWAL GASAL'!P102="","",'PROGRAM JADWAL GASAL'!P102)</f>
        <v/>
      </c>
      <c r="K100" s="136" t="str">
        <f>IF('PROGRAM JADWAL GASAL'!Q102="","",'PROGRAM JADWAL GASAL'!Q102)</f>
        <v/>
      </c>
      <c r="L100" s="138" t="str">
        <f>IF('PROGRAM JADWAL GASAL'!R102="","",'PROGRAM JADWAL GASAL'!R102)</f>
        <v/>
      </c>
    </row>
    <row r="101" spans="1:12" ht="34.950000000000003" customHeight="1" x14ac:dyDescent="0.3">
      <c r="A101" s="275" t="s">
        <v>329</v>
      </c>
      <c r="B101" s="133">
        <f>IF('PROGRAM JADWAL GASAL'!C103="","",'PROGRAM JADWAL GASAL'!C103)</f>
        <v>0.3125</v>
      </c>
      <c r="C101" s="134" t="str">
        <f>IF('PROGRAM JADWAL GASAL'!D103="","",'PROGRAM JADWAL GASAL'!D103)</f>
        <v>s/d</v>
      </c>
      <c r="D101" s="135">
        <f>IF('PROGRAM JADWAL GASAL'!E103="","",'PROGRAM JADWAL GASAL'!E103)</f>
        <v>0.38194444444444442</v>
      </c>
      <c r="E101" s="136" t="str">
        <f>IF('PROGRAM JADWAL GASAL'!H103="","",'PROGRAM JADWAL GASAL'!H103)</f>
        <v>INF-55201-205</v>
      </c>
      <c r="F101" s="137" t="str">
        <f>IF('PROGRAM JADWAL GASAL'!I103="","",'PROGRAM JADWAL GASAL'!I103)</f>
        <v>Jaringan  Komputer *</v>
      </c>
      <c r="G101" s="138" t="str">
        <f>IF('PROGRAM JADWAL GASAL'!M103="","",'PROGRAM JADWAL GASAL'!M103)</f>
        <v>A</v>
      </c>
      <c r="H101" s="139">
        <f>IF('PROGRAM JADWAL GASAL'!N103="","",'PROGRAM JADWAL GASAL'!N103)</f>
        <v>3</v>
      </c>
      <c r="I101" s="139">
        <f>IF('PROGRAM JADWAL GASAL'!O103="","",'PROGRAM JADWAL GASAL'!O103)</f>
        <v>4</v>
      </c>
      <c r="J101" s="139">
        <f>IF('PROGRAM JADWAL GASAL'!P103="","",'PROGRAM JADWAL GASAL'!P103)</f>
        <v>25</v>
      </c>
      <c r="K101" s="136" t="str">
        <f>IF('PROGRAM JADWAL GASAL'!Q103="","",'PROGRAM JADWAL GASAL'!Q103)</f>
        <v>M.Azhar Irwansyah, S.T.,M.Eng. / Haried Novriando, S.Kom, M.Eng</v>
      </c>
      <c r="L101" s="138" t="str">
        <f>IF('PROGRAM JADWAL GASAL'!R103="","",'PROGRAM JADWAL GASAL'!R103)</f>
        <v>ONLINE</v>
      </c>
    </row>
    <row r="102" spans="1:12" ht="34.950000000000003" customHeight="1" x14ac:dyDescent="0.3">
      <c r="A102" s="275"/>
      <c r="B102" s="143">
        <f>IF('PROGRAM JADWAL GASAL'!C104="","",'PROGRAM JADWAL GASAL'!C104)</f>
        <v>0.3125</v>
      </c>
      <c r="C102" s="144" t="str">
        <f>IF('PROGRAM JADWAL GASAL'!D104="","",'PROGRAM JADWAL GASAL'!D104)</f>
        <v>s/d</v>
      </c>
      <c r="D102" s="145">
        <f>IF('PROGRAM JADWAL GASAL'!E104="","",'PROGRAM JADWAL GASAL'!E104)</f>
        <v>0.38194444444444442</v>
      </c>
      <c r="E102" s="136" t="str">
        <f>IF('PROGRAM JADWAL GASAL'!H104="","",'PROGRAM JADWAL GASAL'!H104)</f>
        <v>INF-55201-103</v>
      </c>
      <c r="F102" s="137" t="str">
        <f>IF('PROGRAM JADWAL GASAL'!I104="","",'PROGRAM JADWAL GASAL'!I104)</f>
        <v>Dasar  Pemrograman*</v>
      </c>
      <c r="G102" s="138" t="str">
        <f>IF('PROGRAM JADWAL GASAL'!M104="","",'PROGRAM JADWAL GASAL'!M104)</f>
        <v>B</v>
      </c>
      <c r="H102" s="139">
        <f>IF('PROGRAM JADWAL GASAL'!N104="","",'PROGRAM JADWAL GASAL'!N104)</f>
        <v>1</v>
      </c>
      <c r="I102" s="139">
        <f>IF('PROGRAM JADWAL GASAL'!O104="","",'PROGRAM JADWAL GASAL'!O104)</f>
        <v>4</v>
      </c>
      <c r="J102" s="139">
        <f>IF('PROGRAM JADWAL GASAL'!P104="","",'PROGRAM JADWAL GASAL'!P104)</f>
        <v>35</v>
      </c>
      <c r="K102" s="136" t="str">
        <f>IF('PROGRAM JADWAL GASAL'!Q104="","",'PROGRAM JADWAL GASAL'!Q104)</f>
        <v>Dr. Herry Sujaini, S.T., M.T.</v>
      </c>
      <c r="L102" s="138" t="str">
        <f>IF('PROGRAM JADWAL GASAL'!R104="","",'PROGRAM JADWAL GASAL'!R104)</f>
        <v>ONLINE</v>
      </c>
    </row>
    <row r="103" spans="1:12" ht="34.950000000000003" customHeight="1" x14ac:dyDescent="0.3">
      <c r="A103" s="275"/>
      <c r="B103" s="133">
        <f>IF('PROGRAM JADWAL GASAL'!C105="","",'PROGRAM JADWAL GASAL'!C105)</f>
        <v>0.3125</v>
      </c>
      <c r="C103" s="134" t="str">
        <f>IF('PROGRAM JADWAL GASAL'!D105="","",'PROGRAM JADWAL GASAL'!D105)</f>
        <v>s/d</v>
      </c>
      <c r="D103" s="135">
        <f>IF('PROGRAM JADWAL GASAL'!E105="","",'PROGRAM JADWAL GASAL'!E105)</f>
        <v>0.38194444444444442</v>
      </c>
      <c r="E103" s="150" t="str">
        <f>IF('PROGRAM JADWAL GASAL'!H105="","",'PROGRAM JADWAL GASAL'!H105)</f>
        <v>INF-55201-310</v>
      </c>
      <c r="F103" s="137" t="str">
        <f>IF('PROGRAM JADWAL GASAL'!I105="","",'PROGRAM JADWAL GASAL'!I105)</f>
        <v>Penulisan Proposal  Tugas  Akhir  </v>
      </c>
      <c r="G103" s="138" t="str">
        <f>IF('PROGRAM JADWAL GASAL'!M105="","",'PROGRAM JADWAL GASAL'!M105)</f>
        <v>C</v>
      </c>
      <c r="H103" s="139">
        <f>IF('PROGRAM JADWAL GASAL'!N105="","",'PROGRAM JADWAL GASAL'!N105)</f>
        <v>5</v>
      </c>
      <c r="I103" s="139">
        <f>IF('PROGRAM JADWAL GASAL'!O105="","",'PROGRAM JADWAL GASAL'!O105)</f>
        <v>2</v>
      </c>
      <c r="J103" s="139">
        <f>IF('PROGRAM JADWAL GASAL'!P105="","",'PROGRAM JADWAL GASAL'!P105)</f>
        <v>20</v>
      </c>
      <c r="K103" s="136" t="str">
        <f>IF('PROGRAM JADWAL GASAL'!Q105="","",'PROGRAM JADWAL GASAL'!Q105)</f>
        <v>Eva Faja Ripanti, S.Kom, MMSI, Ph.D</v>
      </c>
      <c r="L103" s="138" t="str">
        <f>IF('PROGRAM JADWAL GASAL'!R105="","",'PROGRAM JADWAL GASAL'!R105)</f>
        <v>ONLINE</v>
      </c>
    </row>
    <row r="104" spans="1:12" ht="34.950000000000003" customHeight="1" x14ac:dyDescent="0.3">
      <c r="A104" s="275"/>
      <c r="B104" s="133">
        <f>IF('PROGRAM JADWAL GASAL'!C106="","",'PROGRAM JADWAL GASAL'!C106)</f>
        <v>0.3125</v>
      </c>
      <c r="C104" s="134" t="str">
        <f>IF('PROGRAM JADWAL GASAL'!D106="","",'PROGRAM JADWAL GASAL'!D106)</f>
        <v>s/d</v>
      </c>
      <c r="D104" s="135">
        <f>IF('PROGRAM JADWAL GASAL'!E106="","",'PROGRAM JADWAL GASAL'!E106)</f>
        <v>0.38194444444444442</v>
      </c>
      <c r="E104" s="136" t="str">
        <f>IF('PROGRAM JADWAL GASAL'!H106="","",'PROGRAM JADWAL GASAL'!H106)</f>
        <v>UMG-55201-101</v>
      </c>
      <c r="F104" s="137" t="str">
        <f>IF('PROGRAM JADWAL GASAL'!I106="","",'PROGRAM JADWAL GASAL'!I106)</f>
        <v>Pendidikan Pancasila</v>
      </c>
      <c r="G104" s="138" t="str">
        <f>IF('PROGRAM JADWAL GASAL'!M106="","",'PROGRAM JADWAL GASAL'!M106)</f>
        <v>C</v>
      </c>
      <c r="H104" s="139">
        <f>IF('PROGRAM JADWAL GASAL'!N106="","",'PROGRAM JADWAL GASAL'!N106)</f>
        <v>1</v>
      </c>
      <c r="I104" s="139">
        <f>IF('PROGRAM JADWAL GASAL'!O106="","",'PROGRAM JADWAL GASAL'!O106)</f>
        <v>2</v>
      </c>
      <c r="J104" s="139">
        <f>IF('PROGRAM JADWAL GASAL'!P106="","",'PROGRAM JADWAL GASAL'!P106)</f>
        <v>35</v>
      </c>
      <c r="K104" s="136" t="str">
        <f>IF('PROGRAM JADWAL GASAL'!Q106="","",'PROGRAM JADWAL GASAL'!Q106)</f>
        <v>MKU</v>
      </c>
      <c r="L104" s="138" t="str">
        <f>IF('PROGRAM JADWAL GASAL'!R106="","",'PROGRAM JADWAL GASAL'!R106)</f>
        <v>ONLINE</v>
      </c>
    </row>
    <row r="105" spans="1:12" ht="34.950000000000003" customHeight="1" x14ac:dyDescent="0.3">
      <c r="A105" s="275"/>
      <c r="B105" s="133">
        <f>IF('PROGRAM JADWAL GASAL'!C107="","",'PROGRAM JADWAL GASAL'!C107)</f>
        <v>0.3125</v>
      </c>
      <c r="C105" s="134" t="str">
        <f>IF('PROGRAM JADWAL GASAL'!D107="","",'PROGRAM JADWAL GASAL'!D107)</f>
        <v>s/d</v>
      </c>
      <c r="D105" s="135">
        <f>IF('PROGRAM JADWAL GASAL'!E107="","",'PROGRAM JADWAL GASAL'!E107)</f>
        <v>0.38194444444444442</v>
      </c>
      <c r="E105" s="151" t="str">
        <f>IF('PROGRAM JADWAL GASAL'!H107="","",'PROGRAM JADWAL GASAL'!H107)</f>
        <v>INF-55201-301</v>
      </c>
      <c r="F105" s="137" t="str">
        <f>IF('PROGRAM JADWAL GASAL'!I107="","",'PROGRAM JADWAL GASAL'!I107)</f>
        <v>Interaksi  Manusia  dan  Komputer  </v>
      </c>
      <c r="G105" s="138" t="str">
        <f>IF('PROGRAM JADWAL GASAL'!M107="","",'PROGRAM JADWAL GASAL'!M107)</f>
        <v>B</v>
      </c>
      <c r="H105" s="139">
        <f>IF('PROGRAM JADWAL GASAL'!N107="","",'PROGRAM JADWAL GASAL'!N107)</f>
        <v>5</v>
      </c>
      <c r="I105" s="139">
        <f>IF('PROGRAM JADWAL GASAL'!O107="","",'PROGRAM JADWAL GASAL'!O107)</f>
        <v>2</v>
      </c>
      <c r="J105" s="139">
        <f>IF('PROGRAM JADWAL GASAL'!P107="","",'PROGRAM JADWAL GASAL'!P107)</f>
        <v>25</v>
      </c>
      <c r="K105" s="136" t="str">
        <f>IF('PROGRAM JADWAL GASAL'!Q107="","",'PROGRAM JADWAL GASAL'!Q107)</f>
        <v>H. Hengky Anra, S.T., M.Kom</v>
      </c>
      <c r="L105" s="138" t="str">
        <f>IF('PROGRAM JADWAL GASAL'!R107="","",'PROGRAM JADWAL GASAL'!R107)</f>
        <v>ONLINE</v>
      </c>
    </row>
    <row r="106" spans="1:12" ht="34.799999999999997" customHeight="1" x14ac:dyDescent="0.3">
      <c r="A106" s="275"/>
      <c r="B106" s="143" t="str">
        <f>IF('PROGRAM JADWAL GASAL'!C108="","",'PROGRAM JADWAL GASAL'!C108)</f>
        <v/>
      </c>
      <c r="C106" s="144" t="str">
        <f>IF('PROGRAM JADWAL GASAL'!D108="","",'PROGRAM JADWAL GASAL'!D108)</f>
        <v/>
      </c>
      <c r="D106" s="145" t="str">
        <f>IF('PROGRAM JADWAL GASAL'!E108="","",'PROGRAM JADWAL GASAL'!E108)</f>
        <v/>
      </c>
      <c r="E106" s="136" t="str">
        <f>IF('PROGRAM JADWAL GASAL'!H108="","",'PROGRAM JADWAL GASAL'!H108)</f>
        <v/>
      </c>
      <c r="F106" s="137" t="str">
        <f>IF('PROGRAM JADWAL GASAL'!I108="","",'PROGRAM JADWAL GASAL'!I108)</f>
        <v/>
      </c>
      <c r="G106" s="138" t="str">
        <f>IF('PROGRAM JADWAL GASAL'!M108="","",'PROGRAM JADWAL GASAL'!M108)</f>
        <v/>
      </c>
      <c r="H106" s="139" t="str">
        <f>IF('PROGRAM JADWAL GASAL'!N108="","",'PROGRAM JADWAL GASAL'!N108)</f>
        <v/>
      </c>
      <c r="I106" s="139" t="str">
        <f>IF('PROGRAM JADWAL GASAL'!O108="","",'PROGRAM JADWAL GASAL'!O108)</f>
        <v/>
      </c>
      <c r="J106" s="139" t="str">
        <f>IF('PROGRAM JADWAL GASAL'!P108="","",'PROGRAM JADWAL GASAL'!P108)</f>
        <v/>
      </c>
      <c r="K106" s="136" t="str">
        <f>IF('PROGRAM JADWAL GASAL'!Q108="","",'PROGRAM JADWAL GASAL'!Q108)</f>
        <v/>
      </c>
      <c r="L106" s="138" t="str">
        <f>IF('PROGRAM JADWAL GASAL'!R108="","",'PROGRAM JADWAL GASAL'!R108)</f>
        <v/>
      </c>
    </row>
    <row r="107" spans="1:12" ht="34.950000000000003" customHeight="1" x14ac:dyDescent="0.3">
      <c r="A107" s="275"/>
      <c r="B107" s="133">
        <f>IF('PROGRAM JADWAL GASAL'!C109="","",'PROGRAM JADWAL GASAL'!C109)</f>
        <v>0.38541666666666669</v>
      </c>
      <c r="C107" s="134" t="str">
        <f>IF('PROGRAM JADWAL GASAL'!D109="","",'PROGRAM JADWAL GASAL'!D109)</f>
        <v>s/d</v>
      </c>
      <c r="D107" s="135">
        <f>IF('PROGRAM JADWAL GASAL'!E109="","",'PROGRAM JADWAL GASAL'!E109)</f>
        <v>0.45486111111111116</v>
      </c>
      <c r="E107" s="136" t="str">
        <f>IF('PROGRAM JADWAL GASAL'!H109="","",'PROGRAM JADWAL GASAL'!H109)</f>
        <v>INF-55201-205</v>
      </c>
      <c r="F107" s="137" t="str">
        <f>IF('PROGRAM JADWAL GASAL'!I109="","",'PROGRAM JADWAL GASAL'!I109)</f>
        <v>Jaringan  Komputer *</v>
      </c>
      <c r="G107" s="138" t="str">
        <f>IF('PROGRAM JADWAL GASAL'!M109="","",'PROGRAM JADWAL GASAL'!M109)</f>
        <v>A</v>
      </c>
      <c r="H107" s="139">
        <f>IF('PROGRAM JADWAL GASAL'!N109="","",'PROGRAM JADWAL GASAL'!N109)</f>
        <v>3</v>
      </c>
      <c r="I107" s="139">
        <f>IF('PROGRAM JADWAL GASAL'!O109="","",'PROGRAM JADWAL GASAL'!O109)</f>
        <v>4</v>
      </c>
      <c r="J107" s="139">
        <f>IF('PROGRAM JADWAL GASAL'!P109="","",'PROGRAM JADWAL GASAL'!P109)</f>
        <v>25</v>
      </c>
      <c r="K107" s="136" t="str">
        <f>IF('PROGRAM JADWAL GASAL'!Q109="","",'PROGRAM JADWAL GASAL'!Q109)</f>
        <v>M.Azhar Irwansyah, S.T.,M.Eng. / Haried Novriando, S.Kom, M.Eng</v>
      </c>
      <c r="L107" s="138" t="str">
        <f>IF('PROGRAM JADWAL GASAL'!R109="","",'PROGRAM JADWAL GASAL'!R109)</f>
        <v>ONLINE</v>
      </c>
    </row>
    <row r="108" spans="1:12" ht="34.950000000000003" customHeight="1" x14ac:dyDescent="0.3">
      <c r="A108" s="275"/>
      <c r="B108" s="143">
        <f>IF('PROGRAM JADWAL GASAL'!C110="","",'PROGRAM JADWAL GASAL'!C110)</f>
        <v>0.38541666666666669</v>
      </c>
      <c r="C108" s="144" t="str">
        <f>IF('PROGRAM JADWAL GASAL'!D110="","",'PROGRAM JADWAL GASAL'!D110)</f>
        <v>s/d</v>
      </c>
      <c r="D108" s="145">
        <f>IF('PROGRAM JADWAL GASAL'!E110="","",'PROGRAM JADWAL GASAL'!E110)</f>
        <v>0.45486111111111116</v>
      </c>
      <c r="E108" s="150" t="str">
        <f>IF('PROGRAM JADWAL GASAL'!H110="","",'PROGRAM JADWAL GASAL'!H110)</f>
        <v>INF-55201-103</v>
      </c>
      <c r="F108" s="137" t="str">
        <f>IF('PROGRAM JADWAL GASAL'!I110="","",'PROGRAM JADWAL GASAL'!I110)</f>
        <v>Dasar  Pemrograman*</v>
      </c>
      <c r="G108" s="138" t="str">
        <f>IF('PROGRAM JADWAL GASAL'!M110="","",'PROGRAM JADWAL GASAL'!M110)</f>
        <v>B</v>
      </c>
      <c r="H108" s="139">
        <f>IF('PROGRAM JADWAL GASAL'!N110="","",'PROGRAM JADWAL GASAL'!N110)</f>
        <v>1</v>
      </c>
      <c r="I108" s="139">
        <f>IF('PROGRAM JADWAL GASAL'!O110="","",'PROGRAM JADWAL GASAL'!O110)</f>
        <v>4</v>
      </c>
      <c r="J108" s="139">
        <f>IF('PROGRAM JADWAL GASAL'!P110="","",'PROGRAM JADWAL GASAL'!P110)</f>
        <v>35</v>
      </c>
      <c r="K108" s="136" t="str">
        <f>IF('PROGRAM JADWAL GASAL'!Q110="","",'PROGRAM JADWAL GASAL'!Q110)</f>
        <v>Dr. Herry Sujaini, S.T., M.T.</v>
      </c>
      <c r="L108" s="138" t="str">
        <f>IF('PROGRAM JADWAL GASAL'!R110="","",'PROGRAM JADWAL GASAL'!R110)</f>
        <v>ONLINE</v>
      </c>
    </row>
    <row r="109" spans="1:12" ht="34.950000000000003" customHeight="1" x14ac:dyDescent="0.3">
      <c r="A109" s="275"/>
      <c r="B109" s="133">
        <f>IF('PROGRAM JADWAL GASAL'!C111="","",'PROGRAM JADWAL GASAL'!C111)</f>
        <v>0.38541666666666669</v>
      </c>
      <c r="C109" s="134" t="str">
        <f>IF('PROGRAM JADWAL GASAL'!D111="","",'PROGRAM JADWAL GASAL'!D111)</f>
        <v>s/d</v>
      </c>
      <c r="D109" s="135">
        <f>IF('PROGRAM JADWAL GASAL'!E111="","",'PROGRAM JADWAL GASAL'!E111)</f>
        <v>0.45486111111111116</v>
      </c>
      <c r="E109" s="136" t="str">
        <f>IF('PROGRAM JADWAL GASAL'!H111="","",'PROGRAM JADWAL GASAL'!H111)</f>
        <v>INF-55201-302</v>
      </c>
      <c r="F109" s="137" t="str">
        <f>IF('PROGRAM JADWAL GASAL'!I111="","",'PROGRAM JADWAL GASAL'!I111)</f>
        <v>Pemrograman  Web *</v>
      </c>
      <c r="G109" s="138" t="str">
        <f>IF('PROGRAM JADWAL GASAL'!M111="","",'PROGRAM JADWAL GASAL'!M111)</f>
        <v>C</v>
      </c>
      <c r="H109" s="139">
        <f>IF('PROGRAM JADWAL GASAL'!N111="","",'PROGRAM JADWAL GASAL'!N111)</f>
        <v>5</v>
      </c>
      <c r="I109" s="139">
        <f>IF('PROGRAM JADWAL GASAL'!O111="","",'PROGRAM JADWAL GASAL'!O111)</f>
        <v>4</v>
      </c>
      <c r="J109" s="139">
        <f>IF('PROGRAM JADWAL GASAL'!P111="","",'PROGRAM JADWAL GASAL'!P111)</f>
        <v>25</v>
      </c>
      <c r="K109" s="136" t="str">
        <f>IF('PROGRAM JADWAL GASAL'!Q111="","",'PROGRAM JADWAL GASAL'!Q111)</f>
        <v>Enda Esyudha Pratama, S.T., M.T. / Fauzan Asrin, S.Kom, M. Kom.</v>
      </c>
      <c r="L109" s="138" t="str">
        <f>IF('PROGRAM JADWAL GASAL'!R111="","",'PROGRAM JADWAL GASAL'!R111)</f>
        <v>ONLINE</v>
      </c>
    </row>
    <row r="110" spans="1:12" ht="34.950000000000003" customHeight="1" x14ac:dyDescent="0.3">
      <c r="A110" s="275"/>
      <c r="B110" s="143">
        <f>IF('PROGRAM JADWAL GASAL'!C112="","",'PROGRAM JADWAL GASAL'!C112)</f>
        <v>0.38541666666666669</v>
      </c>
      <c r="C110" s="144" t="str">
        <f>IF('PROGRAM JADWAL GASAL'!D112="","",'PROGRAM JADWAL GASAL'!D112)</f>
        <v>s/d</v>
      </c>
      <c r="D110" s="145">
        <f>IF('PROGRAM JADWAL GASAL'!E112="","",'PROGRAM JADWAL GASAL'!E112)</f>
        <v>0.45486111111111116</v>
      </c>
      <c r="E110" s="151" t="str">
        <f>IF('PROGRAM JADWAL GASAL'!H112="","",'PROGRAM JADWAL GASAL'!H112)</f>
        <v>INF-55201-104</v>
      </c>
      <c r="F110" s="137" t="str">
        <f>IF('PROGRAM JADWAL GASAL'!I112="","",'PROGRAM JADWAL GASAL'!I112)</f>
        <v>Pengantar Teknik Informatika</v>
      </c>
      <c r="G110" s="138" t="str">
        <f>IF('PROGRAM JADWAL GASAL'!M112="","",'PROGRAM JADWAL GASAL'!M112)</f>
        <v>C</v>
      </c>
      <c r="H110" s="139">
        <f>IF('PROGRAM JADWAL GASAL'!N112="","",'PROGRAM JADWAL GASAL'!N112)</f>
        <v>1</v>
      </c>
      <c r="I110" s="139">
        <f>IF('PROGRAM JADWAL GASAL'!O112="","",'PROGRAM JADWAL GASAL'!O112)</f>
        <v>2</v>
      </c>
      <c r="J110" s="139">
        <f>IF('PROGRAM JADWAL GASAL'!P112="","",'PROGRAM JADWAL GASAL'!P112)</f>
        <v>35</v>
      </c>
      <c r="K110" s="136" t="str">
        <f>IF('PROGRAM JADWAL GASAL'!Q112="","",'PROGRAM JADWAL GASAL'!Q112)</f>
        <v>H. Hengky Anra, S.T., M.Kom</v>
      </c>
      <c r="L110" s="138" t="str">
        <f>IF('PROGRAM JADWAL GASAL'!R112="","",'PROGRAM JADWAL GASAL'!R112)</f>
        <v>ONLINE</v>
      </c>
    </row>
    <row r="111" spans="1:12" ht="34.950000000000003" customHeight="1" x14ac:dyDescent="0.3">
      <c r="A111" s="275"/>
      <c r="B111" s="133">
        <f>IF('PROGRAM JADWAL GASAL'!C113="","",'PROGRAM JADWAL GASAL'!C113)</f>
        <v>0.38541666666666669</v>
      </c>
      <c r="C111" s="134" t="str">
        <f>IF('PROGRAM JADWAL GASAL'!D113="","",'PROGRAM JADWAL GASAL'!D113)</f>
        <v>s/d</v>
      </c>
      <c r="D111" s="135">
        <f>IF('PROGRAM JADWAL GASAL'!E113="","",'PROGRAM JADWAL GASAL'!E113)</f>
        <v>0.45486111111111116</v>
      </c>
      <c r="E111" s="136" t="str">
        <f>IF('PROGRAM JADWAL GASAL'!H113="","",'PROGRAM JADWAL GASAL'!H113)</f>
        <v>INF-55201-311</v>
      </c>
      <c r="F111" s="137" t="str">
        <f>IF('PROGRAM JADWAL GASAL'!I113="","",'PROGRAM JADWAL GASAL'!I113)</f>
        <v>Riset Operasi</v>
      </c>
      <c r="G111" s="138" t="str">
        <f>IF('PROGRAM JADWAL GASAL'!M113="","",'PROGRAM JADWAL GASAL'!M113)</f>
        <v>B</v>
      </c>
      <c r="H111" s="139">
        <f>IF('PROGRAM JADWAL GASAL'!N113="","",'PROGRAM JADWAL GASAL'!N113)</f>
        <v>5</v>
      </c>
      <c r="I111" s="139">
        <f>IF('PROGRAM JADWAL GASAL'!O113="","",'PROGRAM JADWAL GASAL'!O113)</f>
        <v>2</v>
      </c>
      <c r="J111" s="139">
        <f>IF('PROGRAM JADWAL GASAL'!P113="","",'PROGRAM JADWAL GASAL'!P113)</f>
        <v>20</v>
      </c>
      <c r="K111" s="136" t="str">
        <f>IF('PROGRAM JADWAL GASAL'!Q113="","",'PROGRAM JADWAL GASAL'!Q113)</f>
        <v>Eva Faja Ripanti, S.Kom, MMSI, Ph.D / Khairul Hafidh, S.T., M.Kom.</v>
      </c>
      <c r="L111" s="138" t="str">
        <f>IF('PROGRAM JADWAL GASAL'!R113="","",'PROGRAM JADWAL GASAL'!R113)</f>
        <v>ONLINE</v>
      </c>
    </row>
    <row r="112" spans="1:12" ht="34.799999999999997" customHeight="1" x14ac:dyDescent="0.3">
      <c r="A112" s="275"/>
      <c r="B112" s="143" t="str">
        <f>IF('PROGRAM JADWAL GASAL'!C114="","",'PROGRAM JADWAL GASAL'!C114)</f>
        <v/>
      </c>
      <c r="C112" s="144" t="str">
        <f>IF('PROGRAM JADWAL GASAL'!D114="","",'PROGRAM JADWAL GASAL'!D114)</f>
        <v/>
      </c>
      <c r="D112" s="145" t="str">
        <f>IF('PROGRAM JADWAL GASAL'!E114="","",'PROGRAM JADWAL GASAL'!E114)</f>
        <v/>
      </c>
      <c r="E112" s="136" t="str">
        <f>IF('PROGRAM JADWAL GASAL'!H114="","",'PROGRAM JADWAL GASAL'!H114)</f>
        <v/>
      </c>
      <c r="F112" s="137" t="str">
        <f>IF('PROGRAM JADWAL GASAL'!I114="","",'PROGRAM JADWAL GASAL'!I114)</f>
        <v/>
      </c>
      <c r="G112" s="138" t="str">
        <f>IF('PROGRAM JADWAL GASAL'!M114="","",'PROGRAM JADWAL GASAL'!M114)</f>
        <v/>
      </c>
      <c r="H112" s="139" t="str">
        <f>IF('PROGRAM JADWAL GASAL'!N114="","",'PROGRAM JADWAL GASAL'!N114)</f>
        <v/>
      </c>
      <c r="I112" s="139" t="str">
        <f>IF('PROGRAM JADWAL GASAL'!O114="","",'PROGRAM JADWAL GASAL'!O114)</f>
        <v/>
      </c>
      <c r="J112" s="139" t="str">
        <f>IF('PROGRAM JADWAL GASAL'!P114="","",'PROGRAM JADWAL GASAL'!P114)</f>
        <v/>
      </c>
      <c r="K112" s="136" t="str">
        <f>IF('PROGRAM JADWAL GASAL'!Q114="","",'PROGRAM JADWAL GASAL'!Q114)</f>
        <v/>
      </c>
      <c r="L112" s="138" t="str">
        <f>IF('PROGRAM JADWAL GASAL'!R114="","",'PROGRAM JADWAL GASAL'!R114)</f>
        <v/>
      </c>
    </row>
    <row r="113" spans="1:12" ht="34.950000000000003" customHeight="1" x14ac:dyDescent="0.3">
      <c r="A113" s="275"/>
      <c r="B113" s="133">
        <f>IF('PROGRAM JADWAL GASAL'!C115="","",'PROGRAM JADWAL GASAL'!C115)</f>
        <v>0.5625</v>
      </c>
      <c r="C113" s="134" t="str">
        <f>IF('PROGRAM JADWAL GASAL'!D115="","",'PROGRAM JADWAL GASAL'!D115)</f>
        <v>s/d</v>
      </c>
      <c r="D113" s="135">
        <f>IF('PROGRAM JADWAL GASAL'!E115="","",'PROGRAM JADWAL GASAL'!E115)</f>
        <v>0.63194444444444442</v>
      </c>
      <c r="E113" s="136" t="str">
        <f>IF('PROGRAM JADWAL GASAL'!H115="","",'PROGRAM JADWAL GASAL'!H115)</f>
        <v>INF-55201-206</v>
      </c>
      <c r="F113" s="137" t="str">
        <f>IF('PROGRAM JADWAL GASAL'!I115="","",'PROGRAM JADWAL GASAL'!I115)</f>
        <v>Strategi Algoritma*</v>
      </c>
      <c r="G113" s="138" t="str">
        <f>IF('PROGRAM JADWAL GASAL'!M115="","",'PROGRAM JADWAL GASAL'!M115)</f>
        <v>A</v>
      </c>
      <c r="H113" s="139">
        <f>IF('PROGRAM JADWAL GASAL'!N115="","",'PROGRAM JADWAL GASAL'!N115)</f>
        <v>3</v>
      </c>
      <c r="I113" s="139">
        <f>IF('PROGRAM JADWAL GASAL'!O115="","",'PROGRAM JADWAL GASAL'!O115)</f>
        <v>4</v>
      </c>
      <c r="J113" s="139">
        <f>IF('PROGRAM JADWAL GASAL'!P115="","",'PROGRAM JADWAL GASAL'!P115)</f>
        <v>25</v>
      </c>
      <c r="K113" s="136" t="str">
        <f>IF('PROGRAM JADWAL GASAL'!Q115="","",'PROGRAM JADWAL GASAL'!Q115)</f>
        <v>Dr. Arif BPN, S.T., M.T.</v>
      </c>
      <c r="L113" s="138" t="str">
        <f>IF('PROGRAM JADWAL GASAL'!R115="","",'PROGRAM JADWAL GASAL'!R115)</f>
        <v>ONLINE</v>
      </c>
    </row>
    <row r="114" spans="1:12" ht="34.950000000000003" customHeight="1" x14ac:dyDescent="0.3">
      <c r="A114" s="275"/>
      <c r="B114" s="143">
        <f>IF('PROGRAM JADWAL GASAL'!C116="","",'PROGRAM JADWAL GASAL'!C116)</f>
        <v>0.5625</v>
      </c>
      <c r="C114" s="144" t="str">
        <f>IF('PROGRAM JADWAL GASAL'!D116="","",'PROGRAM JADWAL GASAL'!D116)</f>
        <v>s/d</v>
      </c>
      <c r="D114" s="145">
        <f>IF('PROGRAM JADWAL GASAL'!E116="","",'PROGRAM JADWAL GASAL'!E116)</f>
        <v>0.63194444444444442</v>
      </c>
      <c r="E114" s="136" t="str">
        <f>IF('PROGRAM JADWAL GASAL'!H116="","",'PROGRAM JADWAL GASAL'!H116)</f>
        <v>INF-55201-310</v>
      </c>
      <c r="F114" s="137" t="str">
        <f>IF('PROGRAM JADWAL GASAL'!I116="","",'PROGRAM JADWAL GASAL'!I116)</f>
        <v>Penulisan Proposal  Tugas  Akhir  </v>
      </c>
      <c r="G114" s="138" t="str">
        <f>IF('PROGRAM JADWAL GASAL'!M116="","",'PROGRAM JADWAL GASAL'!M116)</f>
        <v>B</v>
      </c>
      <c r="H114" s="139">
        <f>IF('PROGRAM JADWAL GASAL'!N116="","",'PROGRAM JADWAL GASAL'!N116)</f>
        <v>5</v>
      </c>
      <c r="I114" s="139">
        <f>IF('PROGRAM JADWAL GASAL'!O116="","",'PROGRAM JADWAL GASAL'!O116)</f>
        <v>2</v>
      </c>
      <c r="J114" s="139">
        <f>IF('PROGRAM JADWAL GASAL'!P116="","",'PROGRAM JADWAL GASAL'!P116)</f>
        <v>20</v>
      </c>
      <c r="K114" s="136" t="str">
        <f>IF('PROGRAM JADWAL GASAL'!Q116="","",'PROGRAM JADWAL GASAL'!Q116)</f>
        <v>Dr. Yus Sholva, S.T., M.T.</v>
      </c>
      <c r="L114" s="138" t="str">
        <f>IF('PROGRAM JADWAL GASAL'!R116="","",'PROGRAM JADWAL GASAL'!R116)</f>
        <v>ONLINE</v>
      </c>
    </row>
    <row r="115" spans="1:12" ht="34.950000000000003" customHeight="1" x14ac:dyDescent="0.3">
      <c r="A115" s="275"/>
      <c r="B115" s="133">
        <f>IF('PROGRAM JADWAL GASAL'!C117="","",'PROGRAM JADWAL GASAL'!C117)</f>
        <v>0.5625</v>
      </c>
      <c r="C115" s="134" t="str">
        <f>IF('PROGRAM JADWAL GASAL'!D117="","",'PROGRAM JADWAL GASAL'!D117)</f>
        <v>s/d</v>
      </c>
      <c r="D115" s="135">
        <f>IF('PROGRAM JADWAL GASAL'!E117="","",'PROGRAM JADWAL GASAL'!E117)</f>
        <v>0.63194444444444442</v>
      </c>
      <c r="E115" s="136" t="str">
        <f>IF('PROGRAM JADWAL GASAL'!H117="","",'PROGRAM JADWAL GASAL'!H117)</f>
        <v>INF-55201-201</v>
      </c>
      <c r="F115" s="137" t="str">
        <f>IF('PROGRAM JADWAL GASAL'!I117="","",'PROGRAM JADWAL GASAL'!I117)</f>
        <v>Perancangan Basis Data</v>
      </c>
      <c r="G115" s="138" t="str">
        <f>IF('PROGRAM JADWAL GASAL'!M117="","",'PROGRAM JADWAL GASAL'!M117)</f>
        <v>C</v>
      </c>
      <c r="H115" s="139">
        <f>IF('PROGRAM JADWAL GASAL'!N117="","",'PROGRAM JADWAL GASAL'!N117)</f>
        <v>3</v>
      </c>
      <c r="I115" s="139">
        <f>IF('PROGRAM JADWAL GASAL'!O117="","",'PROGRAM JADWAL GASAL'!O117)</f>
        <v>2</v>
      </c>
      <c r="J115" s="139">
        <f>IF('PROGRAM JADWAL GASAL'!P117="","",'PROGRAM JADWAL GASAL'!P117)</f>
        <v>20</v>
      </c>
      <c r="K115" s="136" t="str">
        <f>IF('PROGRAM JADWAL GASAL'!Q117="","",'PROGRAM JADWAL GASAL'!Q117)</f>
        <v>Yulianti,S.Kom, MMSI / Desepta Isna Ulumi, S.Kom, M.Kom.</v>
      </c>
      <c r="L115" s="138" t="str">
        <f>IF('PROGRAM JADWAL GASAL'!R117="","",'PROGRAM JADWAL GASAL'!R117)</f>
        <v>ONLINE</v>
      </c>
    </row>
    <row r="116" spans="1:12" ht="34.799999999999997" customHeight="1" x14ac:dyDescent="0.3">
      <c r="A116" s="275"/>
      <c r="B116" s="143">
        <f>IF('PROGRAM JADWAL GASAL'!C118="","",'PROGRAM JADWAL GASAL'!C118)</f>
        <v>0.5625</v>
      </c>
      <c r="C116" s="144" t="str">
        <f>IF('PROGRAM JADWAL GASAL'!D118="","",'PROGRAM JADWAL GASAL'!D118)</f>
        <v>s/d</v>
      </c>
      <c r="D116" s="145">
        <f>IF('PROGRAM JADWAL GASAL'!E118="","",'PROGRAM JADWAL GASAL'!E118)</f>
        <v>0.63194444444444442</v>
      </c>
      <c r="E116" s="136" t="str">
        <f>IF('PROGRAM JADWAL GASAL'!H118="","",'PROGRAM JADWAL GASAL'!H118)</f>
        <v>INF-55201-302</v>
      </c>
      <c r="F116" s="137" t="str">
        <f>IF('PROGRAM JADWAL GASAL'!I118="","",'PROGRAM JADWAL GASAL'!I118)</f>
        <v>Pemrograman  Web *</v>
      </c>
      <c r="G116" s="138" t="str">
        <f>IF('PROGRAM JADWAL GASAL'!M118="","",'PROGRAM JADWAL GASAL'!M118)</f>
        <v>C</v>
      </c>
      <c r="H116" s="139">
        <f>IF('PROGRAM JADWAL GASAL'!N118="","",'PROGRAM JADWAL GASAL'!N118)</f>
        <v>5</v>
      </c>
      <c r="I116" s="139">
        <f>IF('PROGRAM JADWAL GASAL'!O118="","",'PROGRAM JADWAL GASAL'!O118)</f>
        <v>4</v>
      </c>
      <c r="J116" s="139">
        <f>IF('PROGRAM JADWAL GASAL'!P118="","",'PROGRAM JADWAL GASAL'!P118)</f>
        <v>25</v>
      </c>
      <c r="K116" s="136" t="str">
        <f>IF('PROGRAM JADWAL GASAL'!Q118="","",'PROGRAM JADWAL GASAL'!Q118)</f>
        <v>Enda Esyudha Pratama, S.T., M.T. / Fauzan Asrin, S.Kom, M. Kom.</v>
      </c>
      <c r="L116" s="138" t="str">
        <f>IF('PROGRAM JADWAL GASAL'!R118="","",'PROGRAM JADWAL GASAL'!R118)</f>
        <v>ONLINE</v>
      </c>
    </row>
    <row r="117" spans="1:12" ht="34.950000000000003" customHeight="1" x14ac:dyDescent="0.3">
      <c r="A117" s="275"/>
      <c r="B117" s="133" t="str">
        <f>IF('PROGRAM JADWAL GASAL'!C119="","",'PROGRAM JADWAL GASAL'!C119)</f>
        <v/>
      </c>
      <c r="C117" s="134" t="str">
        <f>IF('PROGRAM JADWAL GASAL'!D119="","",'PROGRAM JADWAL GASAL'!D119)</f>
        <v/>
      </c>
      <c r="D117" s="135" t="str">
        <f>IF('PROGRAM JADWAL GASAL'!E119="","",'PROGRAM JADWAL GASAL'!E119)</f>
        <v/>
      </c>
      <c r="E117" s="136" t="str">
        <f>IF('PROGRAM JADWAL GASAL'!H119="","",'PROGRAM JADWAL GASAL'!H119)</f>
        <v/>
      </c>
      <c r="F117" s="137" t="str">
        <f>IF('PROGRAM JADWAL GASAL'!I119="","",'PROGRAM JADWAL GASAL'!I119)</f>
        <v/>
      </c>
      <c r="G117" s="138" t="str">
        <f>IF('PROGRAM JADWAL GASAL'!M119="","",'PROGRAM JADWAL GASAL'!M119)</f>
        <v/>
      </c>
      <c r="H117" s="139" t="str">
        <f>IF('PROGRAM JADWAL GASAL'!N119="","",'PROGRAM JADWAL GASAL'!N119)</f>
        <v/>
      </c>
      <c r="I117" s="139" t="str">
        <f>IF('PROGRAM JADWAL GASAL'!O119="","",'PROGRAM JADWAL GASAL'!O119)</f>
        <v/>
      </c>
      <c r="J117" s="139" t="str">
        <f>IF('PROGRAM JADWAL GASAL'!P119="","",'PROGRAM JADWAL GASAL'!P119)</f>
        <v/>
      </c>
      <c r="K117" s="136" t="str">
        <f>IF('PROGRAM JADWAL GASAL'!Q119="","",'PROGRAM JADWAL GASAL'!Q119)</f>
        <v/>
      </c>
      <c r="L117" s="138" t="str">
        <f>IF('PROGRAM JADWAL GASAL'!R119="","",'PROGRAM JADWAL GASAL'!R119)</f>
        <v/>
      </c>
    </row>
    <row r="118" spans="1:12" ht="34.950000000000003" customHeight="1" x14ac:dyDescent="0.3">
      <c r="A118" s="275"/>
      <c r="B118" s="143">
        <f>IF('PROGRAM JADWAL GASAL'!C120="","",'PROGRAM JADWAL GASAL'!C120)</f>
        <v>0.63888888888888895</v>
      </c>
      <c r="C118" s="144" t="str">
        <f>IF('PROGRAM JADWAL GASAL'!D120="","",'PROGRAM JADWAL GASAL'!D120)</f>
        <v>s/d</v>
      </c>
      <c r="D118" s="145">
        <f>IF('PROGRAM JADWAL GASAL'!E120="","",'PROGRAM JADWAL GASAL'!E120)</f>
        <v>0.70833333333333337</v>
      </c>
      <c r="E118" s="136" t="str">
        <f>IF('PROGRAM JADWAL GASAL'!H120="","",'PROGRAM JADWAL GASAL'!H120)</f>
        <v>INF-55201-206</v>
      </c>
      <c r="F118" s="137" t="str">
        <f>IF('PROGRAM JADWAL GASAL'!I120="","",'PROGRAM JADWAL GASAL'!I120)</f>
        <v>Strategi Algoritma*</v>
      </c>
      <c r="G118" s="138" t="str">
        <f>IF('PROGRAM JADWAL GASAL'!M120="","",'PROGRAM JADWAL GASAL'!M120)</f>
        <v>A</v>
      </c>
      <c r="H118" s="139">
        <f>IF('PROGRAM JADWAL GASAL'!N120="","",'PROGRAM JADWAL GASAL'!N120)</f>
        <v>3</v>
      </c>
      <c r="I118" s="139">
        <f>IF('PROGRAM JADWAL GASAL'!O120="","",'PROGRAM JADWAL GASAL'!O120)</f>
        <v>4</v>
      </c>
      <c r="J118" s="139">
        <f>IF('PROGRAM JADWAL GASAL'!P120="","",'PROGRAM JADWAL GASAL'!P120)</f>
        <v>25</v>
      </c>
      <c r="K118" s="136" t="str">
        <f>IF('PROGRAM JADWAL GASAL'!Q120="","",'PROGRAM JADWAL GASAL'!Q120)</f>
        <v>Dr. Arif BPN, S.T., M.T.</v>
      </c>
      <c r="L118" s="138" t="str">
        <f>IF('PROGRAM JADWAL GASAL'!R120="","",'PROGRAM JADWAL GASAL'!R120)</f>
        <v>ONLINE</v>
      </c>
    </row>
    <row r="119" spans="1:12" ht="34.950000000000003" customHeight="1" x14ac:dyDescent="0.3">
      <c r="A119" s="275"/>
      <c r="B119" s="133">
        <f>IF('PROGRAM JADWAL GASAL'!C121="","",'PROGRAM JADWAL GASAL'!C121)</f>
        <v>0.63888888888888895</v>
      </c>
      <c r="C119" s="134" t="str">
        <f>IF('PROGRAM JADWAL GASAL'!D121="","",'PROGRAM JADWAL GASAL'!D121)</f>
        <v>s/d</v>
      </c>
      <c r="D119" s="135">
        <f>IF('PROGRAM JADWAL GASAL'!E121="","",'PROGRAM JADWAL GASAL'!E121)</f>
        <v>0.70833333333333337</v>
      </c>
      <c r="E119" s="136" t="str">
        <f>IF('PROGRAM JADWAL GASAL'!H121="","",'PROGRAM JADWAL GASAL'!H121)</f>
        <v>INF-55201-202</v>
      </c>
      <c r="F119" s="137" t="str">
        <f>IF('PROGRAM JADWAL GASAL'!I121="","",'PROGRAM JADWAL GASAL'!I121)</f>
        <v>Teori  Graf  </v>
      </c>
      <c r="G119" s="138" t="str">
        <f>IF('PROGRAM JADWAL GASAL'!M121="","",'PROGRAM JADWAL GASAL'!M121)</f>
        <v>C</v>
      </c>
      <c r="H119" s="139">
        <f>IF('PROGRAM JADWAL GASAL'!N121="","",'PROGRAM JADWAL GASAL'!N121)</f>
        <v>3</v>
      </c>
      <c r="I119" s="139">
        <f>IF('PROGRAM JADWAL GASAL'!O121="","",'PROGRAM JADWAL GASAL'!O121)</f>
        <v>2</v>
      </c>
      <c r="J119" s="139">
        <f>IF('PROGRAM JADWAL GASAL'!P121="","",'PROGRAM JADWAL GASAL'!P121)</f>
        <v>25</v>
      </c>
      <c r="K119" s="136" t="str">
        <f>IF('PROGRAM JADWAL GASAL'!Q121="","",'PROGRAM JADWAL GASAL'!Q121)</f>
        <v>Haried Novriando, S.Kom, M.Eng / Alfian Abdul Jalid, S.Kom., M.Cs.</v>
      </c>
      <c r="L119" s="138" t="str">
        <f>IF('PROGRAM JADWAL GASAL'!R121="","",'PROGRAM JADWAL GASAL'!R121)</f>
        <v>ONLINE</v>
      </c>
    </row>
    <row r="120" spans="1:12" ht="34.950000000000003" customHeight="1" x14ac:dyDescent="0.3">
      <c r="A120" s="275"/>
      <c r="B120" s="143">
        <f>IF('PROGRAM JADWAL GASAL'!C122="","",'PROGRAM JADWAL GASAL'!C122)</f>
        <v>0.63888888888888895</v>
      </c>
      <c r="C120" s="144" t="str">
        <f>IF('PROGRAM JADWAL GASAL'!D122="","",'PROGRAM JADWAL GASAL'!D122)</f>
        <v>s/d</v>
      </c>
      <c r="D120" s="145">
        <f>IF('PROGRAM JADWAL GASAL'!E122="","",'PROGRAM JADWAL GASAL'!E122)</f>
        <v>0.70833333333333337</v>
      </c>
      <c r="E120" s="150" t="str">
        <f>IF('PROGRAM JADWAL GASAL'!H122="","",'PROGRAM JADWAL GASAL'!H122)</f>
        <v>INF-55201-206</v>
      </c>
      <c r="F120" s="137" t="str">
        <f>IF('PROGRAM JADWAL GASAL'!I122="","",'PROGRAM JADWAL GASAL'!I122)</f>
        <v>Strategi Algoritma*</v>
      </c>
      <c r="G120" s="138" t="str">
        <f>IF('PROGRAM JADWAL GASAL'!M122="","",'PROGRAM JADWAL GASAL'!M122)</f>
        <v>B</v>
      </c>
      <c r="H120" s="139">
        <f>IF('PROGRAM JADWAL GASAL'!N122="","",'PROGRAM JADWAL GASAL'!N122)</f>
        <v>3</v>
      </c>
      <c r="I120" s="139">
        <f>IF('PROGRAM JADWAL GASAL'!O122="","",'PROGRAM JADWAL GASAL'!O122)</f>
        <v>4</v>
      </c>
      <c r="J120" s="139">
        <f>IF('PROGRAM JADWAL GASAL'!P122="","",'PROGRAM JADWAL GASAL'!P122)</f>
        <v>25</v>
      </c>
      <c r="K120" s="136" t="str">
        <f>IF('PROGRAM JADWAL GASAL'!Q122="","",'PROGRAM JADWAL GASAL'!Q122)</f>
        <v>Morteza Muthahhari, S.Kom., M.T.I / Fauzan Asrin, S.Kom, M. Kom.</v>
      </c>
      <c r="L120" s="138" t="str">
        <f>IF('PROGRAM JADWAL GASAL'!R122="","",'PROGRAM JADWAL GASAL'!R122)</f>
        <v>ONLINE</v>
      </c>
    </row>
    <row r="121" spans="1:12" ht="34.950000000000003" customHeight="1" x14ac:dyDescent="0.3">
      <c r="A121" s="275"/>
      <c r="B121" s="133">
        <f>IF('PROGRAM JADWAL GASAL'!C123="","",'PROGRAM JADWAL GASAL'!C123)</f>
        <v>0.63888888888888895</v>
      </c>
      <c r="C121" s="134" t="str">
        <f>IF('PROGRAM JADWAL GASAL'!D123="","",'PROGRAM JADWAL GASAL'!D123)</f>
        <v>s/d</v>
      </c>
      <c r="D121" s="135">
        <f>IF('PROGRAM JADWAL GASAL'!E123="","",'PROGRAM JADWAL GASAL'!E123)</f>
        <v>0.70833333333333337</v>
      </c>
      <c r="E121" s="136" t="str">
        <f>IF('PROGRAM JADWAL GASAL'!H123="","",'PROGRAM JADWAL GASAL'!H123)</f>
        <v>UMG-55201-103</v>
      </c>
      <c r="F121" s="137" t="str">
        <f>IF('PROGRAM JADWAL GASAL'!I123="","",'PROGRAM JADWAL GASAL'!I123)</f>
        <v>Bahasa  Inggris  </v>
      </c>
      <c r="G121" s="138" t="str">
        <f>IF('PROGRAM JADWAL GASAL'!M123="","",'PROGRAM JADWAL GASAL'!M123)</f>
        <v>B</v>
      </c>
      <c r="H121" s="139">
        <f>IF('PROGRAM JADWAL GASAL'!N123="","",'PROGRAM JADWAL GASAL'!N123)</f>
        <v>1</v>
      </c>
      <c r="I121" s="139">
        <f>IF('PROGRAM JADWAL GASAL'!O123="","",'PROGRAM JADWAL GASAL'!O123)</f>
        <v>2</v>
      </c>
      <c r="J121" s="139">
        <f>IF('PROGRAM JADWAL GASAL'!P123="","",'PROGRAM JADWAL GASAL'!P123)</f>
        <v>35</v>
      </c>
      <c r="K121" s="136" t="str">
        <f>IF('PROGRAM JADWAL GASAL'!Q123="","",'PROGRAM JADWAL GASAL'!Q123)</f>
        <v>MKU</v>
      </c>
      <c r="L121" s="138" t="str">
        <f>IF('PROGRAM JADWAL GASAL'!R123="","",'PROGRAM JADWAL GASAL'!R123)</f>
        <v>ONLINE</v>
      </c>
    </row>
    <row r="122" spans="1:12" ht="34.200000000000003" customHeight="1" x14ac:dyDescent="0.35">
      <c r="A122" s="156"/>
      <c r="B122" s="152"/>
      <c r="C122" s="152"/>
      <c r="D122" s="152"/>
      <c r="E122" s="153"/>
      <c r="F122" s="154"/>
      <c r="G122" s="152"/>
      <c r="H122" s="152"/>
      <c r="I122" s="152"/>
      <c r="J122" s="152"/>
      <c r="K122" s="152"/>
      <c r="L122" s="155"/>
    </row>
  </sheetData>
  <mergeCells count="8">
    <mergeCell ref="A101:A121"/>
    <mergeCell ref="A2:L2"/>
    <mergeCell ref="A3:L3"/>
    <mergeCell ref="B5:D5"/>
    <mergeCell ref="A6:A27"/>
    <mergeCell ref="A29:A52"/>
    <mergeCell ref="A54:A73"/>
    <mergeCell ref="A75:A99"/>
  </mergeCells>
  <conditionalFormatting sqref="B6:L121">
    <cfRule type="containsBlanks" dxfId="23" priority="3">
      <formula>LEN(TRIM(B6))=0</formula>
    </cfRule>
  </conditionalFormatting>
  <conditionalFormatting sqref="A6:A75 A100:A121">
    <cfRule type="containsBlanks" dxfId="22" priority="2">
      <formula>LEN(TRIM(A6))=0</formula>
    </cfRule>
  </conditionalFormatting>
  <conditionalFormatting sqref="A122:L122">
    <cfRule type="containsBlanks" dxfId="21" priority="1">
      <formula>LEN(TRIM(A122))=0</formula>
    </cfRule>
  </conditionalFormatting>
  <pageMargins left="0.7" right="0.7" top="0.75" bottom="0.75" header="0.3" footer="0.3"/>
  <pageSetup paperSize="5" scale="8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ED16-A914-4C7F-B581-808D1506FB95}">
  <dimension ref="A1:C30"/>
  <sheetViews>
    <sheetView topLeftCell="A2" workbookViewId="0">
      <selection activeCell="C29" sqref="C29:C30"/>
    </sheetView>
  </sheetViews>
  <sheetFormatPr defaultRowHeight="14.4" x14ac:dyDescent="0.3"/>
  <cols>
    <col min="1" max="1" width="8.88671875" style="1"/>
    <col min="2" max="2" width="35.5546875" style="1" customWidth="1"/>
    <col min="3" max="3" width="12.44140625" style="1" customWidth="1"/>
    <col min="4" max="16384" width="8.88671875" style="1"/>
  </cols>
  <sheetData>
    <row r="1" spans="1:3" x14ac:dyDescent="0.3">
      <c r="A1" s="10" t="s">
        <v>102</v>
      </c>
      <c r="B1" s="10" t="s">
        <v>103</v>
      </c>
      <c r="C1" s="10" t="s">
        <v>104</v>
      </c>
    </row>
    <row r="2" spans="1:3" x14ac:dyDescent="0.3">
      <c r="A2" s="105" t="s">
        <v>182</v>
      </c>
      <c r="B2" s="3" t="s">
        <v>105</v>
      </c>
      <c r="C2" s="3" t="s">
        <v>106</v>
      </c>
    </row>
    <row r="3" spans="1:3" x14ac:dyDescent="0.3">
      <c r="A3" s="105" t="s">
        <v>183</v>
      </c>
      <c r="B3" s="3" t="s">
        <v>107</v>
      </c>
      <c r="C3" s="2" t="s">
        <v>108</v>
      </c>
    </row>
    <row r="4" spans="1:3" x14ac:dyDescent="0.3">
      <c r="A4" s="105" t="s">
        <v>184</v>
      </c>
      <c r="B4" s="3" t="s">
        <v>109</v>
      </c>
      <c r="C4" s="2" t="s">
        <v>110</v>
      </c>
    </row>
    <row r="5" spans="1:3" x14ac:dyDescent="0.3">
      <c r="A5" s="105" t="s">
        <v>185</v>
      </c>
      <c r="B5" s="3" t="s">
        <v>111</v>
      </c>
      <c r="C5" s="2" t="s">
        <v>112</v>
      </c>
    </row>
    <row r="6" spans="1:3" x14ac:dyDescent="0.3">
      <c r="A6" s="105" t="s">
        <v>186</v>
      </c>
      <c r="B6" s="3" t="s">
        <v>113</v>
      </c>
      <c r="C6" s="2" t="s">
        <v>114</v>
      </c>
    </row>
    <row r="7" spans="1:3" x14ac:dyDescent="0.3">
      <c r="A7" s="105" t="s">
        <v>187</v>
      </c>
      <c r="B7" s="3" t="s">
        <v>115</v>
      </c>
      <c r="C7" s="2" t="s">
        <v>116</v>
      </c>
    </row>
    <row r="8" spans="1:3" x14ac:dyDescent="0.3">
      <c r="A8" s="105" t="s">
        <v>188</v>
      </c>
      <c r="B8" s="3" t="s">
        <v>117</v>
      </c>
      <c r="C8" s="2" t="s">
        <v>118</v>
      </c>
    </row>
    <row r="9" spans="1:3" x14ac:dyDescent="0.3">
      <c r="A9" s="105" t="s">
        <v>189</v>
      </c>
      <c r="B9" s="3" t="s">
        <v>119</v>
      </c>
      <c r="C9" s="2" t="s">
        <v>120</v>
      </c>
    </row>
    <row r="10" spans="1:3" x14ac:dyDescent="0.3">
      <c r="A10" s="105" t="s">
        <v>190</v>
      </c>
      <c r="B10" s="3" t="s">
        <v>121</v>
      </c>
      <c r="C10" s="2" t="s">
        <v>122</v>
      </c>
    </row>
    <row r="11" spans="1:3" x14ac:dyDescent="0.3">
      <c r="A11" s="105" t="s">
        <v>191</v>
      </c>
      <c r="B11" s="3" t="s">
        <v>123</v>
      </c>
      <c r="C11" s="2" t="s">
        <v>124</v>
      </c>
    </row>
    <row r="12" spans="1:3" x14ac:dyDescent="0.3">
      <c r="A12" s="105" t="s">
        <v>192</v>
      </c>
      <c r="B12" s="3" t="s">
        <v>125</v>
      </c>
      <c r="C12" s="2" t="s">
        <v>126</v>
      </c>
    </row>
    <row r="13" spans="1:3" x14ac:dyDescent="0.3">
      <c r="A13" s="105" t="s">
        <v>193</v>
      </c>
      <c r="B13" s="3" t="s">
        <v>396</v>
      </c>
      <c r="C13" s="2" t="s">
        <v>127</v>
      </c>
    </row>
    <row r="14" spans="1:3" x14ac:dyDescent="0.3">
      <c r="A14" s="105" t="s">
        <v>194</v>
      </c>
      <c r="B14" s="3" t="s">
        <v>128</v>
      </c>
      <c r="C14" s="2" t="s">
        <v>129</v>
      </c>
    </row>
    <row r="15" spans="1:3" x14ac:dyDescent="0.3">
      <c r="A15" s="105" t="s">
        <v>195</v>
      </c>
      <c r="B15" s="3" t="s">
        <v>130</v>
      </c>
      <c r="C15" s="2" t="s">
        <v>131</v>
      </c>
    </row>
    <row r="16" spans="1:3" x14ac:dyDescent="0.3">
      <c r="A16" s="105" t="s">
        <v>196</v>
      </c>
      <c r="B16" s="3" t="s">
        <v>132</v>
      </c>
      <c r="C16" s="2" t="s">
        <v>133</v>
      </c>
    </row>
    <row r="17" spans="1:3" x14ac:dyDescent="0.3">
      <c r="A17" s="105" t="s">
        <v>197</v>
      </c>
      <c r="B17" s="3" t="s">
        <v>134</v>
      </c>
      <c r="C17" s="2" t="s">
        <v>135</v>
      </c>
    </row>
    <row r="18" spans="1:3" x14ac:dyDescent="0.3">
      <c r="A18" s="105" t="s">
        <v>198</v>
      </c>
      <c r="B18" s="3" t="s">
        <v>136</v>
      </c>
      <c r="C18" s="2" t="s">
        <v>136</v>
      </c>
    </row>
    <row r="19" spans="1:3" x14ac:dyDescent="0.3">
      <c r="A19" s="105" t="s">
        <v>199</v>
      </c>
      <c r="B19" s="4" t="s">
        <v>137</v>
      </c>
      <c r="C19" s="5" t="s">
        <v>138</v>
      </c>
    </row>
    <row r="20" spans="1:3" x14ac:dyDescent="0.3">
      <c r="A20" s="105" t="s">
        <v>200</v>
      </c>
      <c r="B20" s="6" t="s">
        <v>139</v>
      </c>
      <c r="C20" s="7" t="s">
        <v>140</v>
      </c>
    </row>
    <row r="21" spans="1:3" x14ac:dyDescent="0.3">
      <c r="A21" s="105" t="s">
        <v>201</v>
      </c>
      <c r="B21" s="8" t="s">
        <v>141</v>
      </c>
      <c r="C21" s="9" t="s">
        <v>142</v>
      </c>
    </row>
    <row r="22" spans="1:3" x14ac:dyDescent="0.3">
      <c r="A22" s="105" t="s">
        <v>202</v>
      </c>
      <c r="B22" s="8" t="s">
        <v>143</v>
      </c>
      <c r="C22" s="9" t="s">
        <v>144</v>
      </c>
    </row>
    <row r="23" spans="1:3" x14ac:dyDescent="0.3">
      <c r="A23" s="105" t="s">
        <v>203</v>
      </c>
      <c r="B23" s="8" t="s">
        <v>145</v>
      </c>
      <c r="C23" s="9" t="s">
        <v>146</v>
      </c>
    </row>
    <row r="24" spans="1:3" x14ac:dyDescent="0.3">
      <c r="A24" s="105" t="s">
        <v>204</v>
      </c>
      <c r="B24" s="103" t="s">
        <v>334</v>
      </c>
      <c r="C24" s="106" t="s">
        <v>397</v>
      </c>
    </row>
    <row r="25" spans="1:3" x14ac:dyDescent="0.3">
      <c r="A25" s="105" t="s">
        <v>205</v>
      </c>
      <c r="B25" s="104" t="s">
        <v>335</v>
      </c>
      <c r="C25" s="106" t="s">
        <v>339</v>
      </c>
    </row>
    <row r="26" spans="1:3" x14ac:dyDescent="0.3">
      <c r="A26" s="105" t="s">
        <v>206</v>
      </c>
      <c r="B26" s="104" t="s">
        <v>336</v>
      </c>
      <c r="C26" s="107" t="s">
        <v>340</v>
      </c>
    </row>
    <row r="27" spans="1:3" x14ac:dyDescent="0.3">
      <c r="A27" s="105" t="s">
        <v>343</v>
      </c>
      <c r="B27" s="104" t="s">
        <v>337</v>
      </c>
      <c r="C27" s="108" t="s">
        <v>341</v>
      </c>
    </row>
    <row r="28" spans="1:3" x14ac:dyDescent="0.3">
      <c r="A28" s="105" t="s">
        <v>344</v>
      </c>
      <c r="B28" s="104" t="s">
        <v>338</v>
      </c>
      <c r="C28" s="108" t="s">
        <v>342</v>
      </c>
    </row>
    <row r="29" spans="1:3" x14ac:dyDescent="0.3">
      <c r="A29" s="105" t="s">
        <v>475</v>
      </c>
      <c r="B29" s="9" t="s">
        <v>558</v>
      </c>
      <c r="C29" s="9" t="s">
        <v>559</v>
      </c>
    </row>
    <row r="30" spans="1:3" x14ac:dyDescent="0.3">
      <c r="A30" s="238" t="s">
        <v>476</v>
      </c>
      <c r="B30" s="9" t="s">
        <v>560</v>
      </c>
      <c r="C30" s="9" t="s">
        <v>561</v>
      </c>
    </row>
  </sheetData>
  <phoneticPr fontId="15" type="noConversion"/>
  <hyperlinks>
    <hyperlink ref="B30" r:id="rId1" display="https://ee.untan.ac.id/dosen/prof-dr-ing-seno-d-panjaitan-st-mt-ipm_1654831975" xr:uid="{A0C151F9-E6A2-4B48-9AE8-1FA537863185}"/>
  </hyperlinks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B507-ABE3-4251-9A45-236F60D01198}">
  <dimension ref="A1:B11"/>
  <sheetViews>
    <sheetView workbookViewId="0">
      <selection activeCell="C29" sqref="C29"/>
    </sheetView>
  </sheetViews>
  <sheetFormatPr defaultRowHeight="14.4" x14ac:dyDescent="0.3"/>
  <cols>
    <col min="1" max="1" width="13.21875" customWidth="1"/>
  </cols>
  <sheetData>
    <row r="1" spans="1:2" x14ac:dyDescent="0.3">
      <c r="A1" t="s">
        <v>95</v>
      </c>
      <c r="B1" t="s">
        <v>96</v>
      </c>
    </row>
    <row r="2" spans="1:2" x14ac:dyDescent="0.3">
      <c r="A2">
        <v>0</v>
      </c>
      <c r="B2" t="s">
        <v>106</v>
      </c>
    </row>
    <row r="3" spans="1:2" x14ac:dyDescent="0.3">
      <c r="A3">
        <v>1</v>
      </c>
      <c r="B3" t="s">
        <v>97</v>
      </c>
    </row>
    <row r="4" spans="1:2" x14ac:dyDescent="0.3">
      <c r="A4">
        <v>2</v>
      </c>
      <c r="B4" t="s">
        <v>98</v>
      </c>
    </row>
    <row r="5" spans="1:2" x14ac:dyDescent="0.3">
      <c r="A5">
        <v>3</v>
      </c>
      <c r="B5" t="s">
        <v>99</v>
      </c>
    </row>
    <row r="6" spans="1:2" x14ac:dyDescent="0.3">
      <c r="A6">
        <v>4</v>
      </c>
      <c r="B6" t="s">
        <v>100</v>
      </c>
    </row>
    <row r="7" spans="1:2" x14ac:dyDescent="0.3">
      <c r="A7">
        <v>5</v>
      </c>
      <c r="B7" t="s">
        <v>101</v>
      </c>
    </row>
    <row r="9" spans="1:2" x14ac:dyDescent="0.3">
      <c r="A9" t="s">
        <v>209</v>
      </c>
    </row>
    <row r="10" spans="1:2" x14ac:dyDescent="0.3">
      <c r="A10" t="s">
        <v>210</v>
      </c>
    </row>
    <row r="11" spans="1:2" x14ac:dyDescent="0.3">
      <c r="A11" t="s">
        <v>212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HOW TO USE</vt:lpstr>
      <vt:lpstr>DASHBOARD</vt:lpstr>
      <vt:lpstr>SELECT KELAS GENAP</vt:lpstr>
      <vt:lpstr>PROGRAM JADWAL GENAP</vt:lpstr>
      <vt:lpstr>GEN JADWAL GENAP</vt:lpstr>
      <vt:lpstr>PROGRAM SIMULASI GENAP</vt:lpstr>
      <vt:lpstr>TABLE MK</vt:lpstr>
      <vt:lpstr>UNTUK GENERATE</vt:lpstr>
      <vt:lpstr>PROGRAM JADWAL GASAL</vt:lpstr>
      <vt:lpstr>SELECT KELAS GASAL</vt:lpstr>
      <vt:lpstr>GEN JADWAL GASAL</vt:lpstr>
      <vt:lpstr>TABLE DOSEN</vt:lpstr>
      <vt:lpstr>TABLE SISTEM</vt:lpstr>
      <vt:lpstr>DASHBOARD!Print_Area</vt:lpstr>
      <vt:lpstr>'GEN JADWAL GASAL'!Print_Area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Perwitasari</dc:creator>
  <cp:lastModifiedBy>Reviewer</cp:lastModifiedBy>
  <cp:lastPrinted>2023-01-19T08:13:33Z</cp:lastPrinted>
  <dcterms:created xsi:type="dcterms:W3CDTF">2021-09-03T01:47:44Z</dcterms:created>
  <dcterms:modified xsi:type="dcterms:W3CDTF">2023-01-19T08:18:51Z</dcterms:modified>
</cp:coreProperties>
</file>