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PO-202508\"/>
    </mc:Choice>
  </mc:AlternateContent>
  <xr:revisionPtr revIDLastSave="0" documentId="13_ncr:1_{1513D016-AF65-4A21-A167-4B88DD3ADB43}" xr6:coauthVersionLast="47" xr6:coauthVersionMax="47" xr10:uidLastSave="{00000000-0000-0000-0000-000000000000}"/>
  <bookViews>
    <workbookView xWindow="-96" yWindow="-96" windowWidth="18192" windowHeight="11472" firstSheet="13" activeTab="16" xr2:uid="{292ABD8E-EAE5-49FC-8132-813672B91E46}"/>
  </bookViews>
  <sheets>
    <sheet name="P5 铜到光" sheetId="8" r:id="rId1"/>
    <sheet name="可插拔=&gt;CPO的功耗节约" sheetId="14" r:id="rId2"/>
    <sheet name="P6-7 铜到光 算力与传输速率" sheetId="1" r:id="rId3"/>
    <sheet name="P8 可插拔到CPO的功耗" sheetId="22" r:id="rId4"/>
    <sheet name="CPO渗透率" sheetId="4" r:id="rId5"/>
    <sheet name="P9 技术路径对比 FPP、CPO、OIO" sheetId="6" r:id="rId6"/>
    <sheet name="互连技术变迁" sheetId="5" r:id="rId7"/>
    <sheet name="CPO信号传输关键环节" sheetId="12" r:id="rId8"/>
    <sheet name="P14 CPO在国内优先落地于Scale Up" sheetId="16" r:id="rId9"/>
    <sheet name="P15 CPO市场规模估算" sheetId="23" r:id="rId10"/>
    <sheet name="P15 光模块出货量模型" sheetId="24" r:id="rId11"/>
    <sheet name="不同规格光模块的销售额与出货量" sheetId="11" r:id="rId12"/>
    <sheet name="制程限制与市场份额" sheetId="19" r:id="rId13"/>
    <sheet name="各厂商时间线" sheetId="18" r:id="rId14"/>
    <sheet name="博通vs英伟达" sheetId="17" r:id="rId15"/>
    <sheet name="NPO" sheetId="25" r:id="rId16"/>
    <sheet name="P21 ASIC份额" sheetId="20" r:id="rId17"/>
    <sheet name="Ficontec" sheetId="15" r:id="rId18"/>
    <sheet name="AyarLabs" sheetId="13" r:id="rId19"/>
    <sheet name="ASIC带动光模块增长" sheetId="21" r:id="rId20"/>
    <sheet name="NPO " sheetId="26" r:id="rId21"/>
  </sheets>
  <definedNames>
    <definedName name="___thinkcellWCFQAAAAAAAAAAAAAAAAQ4OF6PZUCX2AUCOI4XIA5YBR6" localSheetId="0" hidden="1">'P5 铜到光'!$AK$34:$AL$42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4" l="1"/>
  <c r="N3" i="14"/>
  <c r="H9" i="15" l="1"/>
  <c r="H30" i="15"/>
  <c r="C24" i="20"/>
  <c r="B24" i="20"/>
  <c r="C23" i="20"/>
  <c r="B23" i="20"/>
  <c r="B18" i="20"/>
  <c r="C18" i="20"/>
  <c r="B19" i="20"/>
  <c r="C19" i="20"/>
  <c r="C17" i="20"/>
  <c r="B17" i="20"/>
  <c r="E5" i="14"/>
  <c r="E9" i="14"/>
  <c r="C7" i="14"/>
  <c r="B7" i="14"/>
  <c r="I4" i="14"/>
  <c r="H4" i="14"/>
  <c r="D3" i="14"/>
  <c r="E10" i="14"/>
  <c r="E6" i="14"/>
  <c r="D6" i="14"/>
  <c r="D5" i="14"/>
  <c r="C4" i="14"/>
  <c r="C5" i="14"/>
  <c r="C6" i="14"/>
  <c r="B6" i="14"/>
  <c r="B5" i="14"/>
  <c r="B4" i="14"/>
  <c r="U6" i="14"/>
  <c r="T6" i="14"/>
  <c r="S6" i="14"/>
  <c r="B13" i="20"/>
  <c r="B20" i="20" s="1"/>
  <c r="C13" i="20"/>
  <c r="C20" i="20" s="1"/>
  <c r="C14" i="20"/>
  <c r="Z12" i="20"/>
  <c r="B14" i="20" l="1"/>
  <c r="C16" i="20"/>
  <c r="C15" i="20"/>
  <c r="S2" i="22"/>
  <c r="B16" i="20" l="1"/>
  <c r="B15" i="20"/>
  <c r="S3" i="22" l="1"/>
  <c r="AL35" i="8"/>
  <c r="AT35" i="8"/>
  <c r="AL36" i="8"/>
  <c r="AT36" i="8"/>
  <c r="AL37" i="8"/>
  <c r="AT37" i="8"/>
  <c r="AL38" i="8"/>
  <c r="AT38" i="8"/>
  <c r="AL39" i="8"/>
  <c r="AT39" i="8"/>
  <c r="AT40" i="8"/>
  <c r="AT41" i="8"/>
  <c r="B132" i="23" l="1"/>
  <c r="R173" i="23"/>
  <c r="R175" i="23"/>
  <c r="Q168" i="23"/>
  <c r="R168" i="23" s="1"/>
  <c r="Q169" i="23"/>
  <c r="R169" i="23" s="1"/>
  <c r="Q170" i="23"/>
  <c r="R170" i="23" s="1"/>
  <c r="Q171" i="23"/>
  <c r="R171" i="23" s="1"/>
  <c r="Q172" i="23"/>
  <c r="R172" i="23" s="1"/>
  <c r="Q173" i="23"/>
  <c r="Q174" i="23"/>
  <c r="R174" i="23" s="1"/>
  <c r="Q175" i="23"/>
  <c r="Q176" i="23"/>
  <c r="R176" i="23" s="1"/>
  <c r="Q177" i="23"/>
  <c r="R177" i="23" s="1"/>
  <c r="Q178" i="23"/>
  <c r="R178" i="23" s="1"/>
  <c r="Q167" i="23"/>
  <c r="H111" i="23"/>
  <c r="I111" i="23"/>
  <c r="J111" i="23"/>
  <c r="H112" i="23"/>
  <c r="I112" i="23"/>
  <c r="J112" i="23"/>
  <c r="H113" i="23"/>
  <c r="I113" i="23"/>
  <c r="J113" i="23"/>
  <c r="H114" i="23"/>
  <c r="I114" i="23"/>
  <c r="J114" i="23"/>
  <c r="H115" i="23"/>
  <c r="I115" i="23"/>
  <c r="J115" i="23"/>
  <c r="H116" i="23"/>
  <c r="I116" i="23"/>
  <c r="J116" i="23"/>
  <c r="H117" i="23"/>
  <c r="I117" i="23"/>
  <c r="J117" i="23"/>
  <c r="H118" i="23"/>
  <c r="G129" i="23" s="1"/>
  <c r="I118" i="23"/>
  <c r="H129" i="23" s="1"/>
  <c r="J118" i="23"/>
  <c r="I129" i="23" s="1"/>
  <c r="G87" i="23"/>
  <c r="H87" i="23" s="1"/>
  <c r="H84" i="23"/>
  <c r="H85" i="23"/>
  <c r="H86" i="23"/>
  <c r="H83" i="23"/>
  <c r="C84" i="23"/>
  <c r="C85" i="23"/>
  <c r="C86" i="23"/>
  <c r="C87" i="23"/>
  <c r="C83" i="23"/>
  <c r="BK3" i="16"/>
  <c r="AX3" i="16"/>
  <c r="AX2" i="16"/>
  <c r="AY6" i="16" s="1"/>
  <c r="AU3" i="16"/>
  <c r="AU2" i="16"/>
  <c r="AT3" i="16"/>
  <c r="AT2" i="16"/>
  <c r="AN2" i="16"/>
  <c r="AP2" i="16" s="1"/>
  <c r="L3" i="22"/>
  <c r="L2" i="22"/>
  <c r="E3" i="21"/>
  <c r="D2" i="21"/>
  <c r="D3" i="21"/>
  <c r="AW13" i="20"/>
  <c r="AW9" i="20"/>
  <c r="AW10" i="20"/>
  <c r="C4" i="20"/>
  <c r="C5" i="20"/>
  <c r="D5" i="20"/>
  <c r="B5" i="20"/>
  <c r="Q2" i="8"/>
  <c r="Q3" i="8"/>
  <c r="P3" i="15"/>
  <c r="L3" i="15"/>
  <c r="B3" i="15"/>
  <c r="BI11" i="11"/>
  <c r="BH11" i="11"/>
  <c r="BG11" i="11"/>
  <c r="BG10" i="11" s="1"/>
  <c r="BE10" i="11"/>
  <c r="BE11" i="11" s="1"/>
  <c r="BF10" i="11"/>
  <c r="BF11" i="11" s="1"/>
  <c r="BD10" i="11"/>
  <c r="Q4" i="8"/>
  <c r="O3" i="8"/>
  <c r="T3" i="4"/>
  <c r="U2" i="4"/>
  <c r="U3" i="4" s="1"/>
  <c r="Q4" i="4"/>
  <c r="H4" i="11"/>
  <c r="I4" i="11"/>
  <c r="J4" i="11"/>
  <c r="K4" i="11"/>
  <c r="H5" i="11"/>
  <c r="I5" i="11"/>
  <c r="J5" i="11"/>
  <c r="K5" i="11"/>
  <c r="H6" i="11"/>
  <c r="I6" i="11"/>
  <c r="J6" i="11"/>
  <c r="K6" i="11"/>
  <c r="H7" i="11"/>
  <c r="I7" i="11"/>
  <c r="J7" i="11"/>
  <c r="K7" i="11"/>
  <c r="H8" i="11"/>
  <c r="I8" i="11"/>
  <c r="J8" i="11"/>
  <c r="K8" i="11"/>
  <c r="H9" i="11"/>
  <c r="I9" i="11"/>
  <c r="J9" i="11"/>
  <c r="K9" i="11"/>
  <c r="H10" i="11"/>
  <c r="I10" i="11"/>
  <c r="J10" i="11"/>
  <c r="K10" i="11"/>
  <c r="H11" i="11"/>
  <c r="I11" i="11"/>
  <c r="J11" i="11"/>
  <c r="K11" i="11"/>
  <c r="H12" i="11"/>
  <c r="I12" i="11"/>
  <c r="J12" i="11"/>
  <c r="K12" i="11"/>
  <c r="I3" i="11"/>
  <c r="J3" i="11"/>
  <c r="K3" i="11"/>
  <c r="H3" i="11"/>
  <c r="AV3" i="8"/>
  <c r="AV4" i="8"/>
  <c r="AN2" i="8"/>
  <c r="AO2" i="8" s="1"/>
  <c r="AN4" i="8"/>
  <c r="AO4" i="8" s="1"/>
  <c r="K5" i="4"/>
  <c r="L5" i="4"/>
  <c r="M5" i="4"/>
  <c r="N5" i="4"/>
  <c r="O5" i="4"/>
  <c r="J5" i="4"/>
  <c r="K129" i="23" l="1"/>
  <c r="BH10" i="11"/>
  <c r="BI10" i="11" s="1"/>
  <c r="BK10" i="11" s="1"/>
  <c r="V2" i="4"/>
  <c r="W2" i="4" s="1"/>
  <c r="W3" i="4" s="1"/>
  <c r="AY2" i="16"/>
  <c r="AV2" i="16"/>
  <c r="AW2" i="16" s="1"/>
  <c r="V3" i="4"/>
</calcChain>
</file>

<file path=xl/sharedStrings.xml><?xml version="1.0" encoding="utf-8"?>
<sst xmlns="http://schemas.openxmlformats.org/spreadsheetml/2006/main" count="1042" uniqueCount="752">
  <si>
    <t>时间</t>
  </si>
  <si>
    <t>型号</t>
  </si>
  <si>
    <t>算力(FP16/8/4)(FLOPS)</t>
  </si>
  <si>
    <t>功耗</t>
  </si>
  <si>
    <t>显存容量</t>
  </si>
  <si>
    <t>显存带宽</t>
  </si>
  <si>
    <t>GPU互连 (NVLink)</t>
  </si>
  <si>
    <t>NVLink单通道带宽</t>
  </si>
  <si>
    <t>网络互连（InfiniBand）</t>
  </si>
  <si>
    <t>InfiniBand单通道带宽</t>
  </si>
  <si>
    <t>A100</t>
  </si>
  <si>
    <t>312 T</t>
  </si>
  <si>
    <t>400W</t>
  </si>
  <si>
    <t>40/80 GB HBM2e</t>
  </si>
  <si>
    <t>2.0 TB/s</t>
  </si>
  <si>
    <t>600 GB/s，12通道</t>
  </si>
  <si>
    <t>50GB/s</t>
  </si>
  <si>
    <t>200 Gb/s，4通道</t>
  </si>
  <si>
    <t>/</t>
  </si>
  <si>
    <t>H100</t>
  </si>
  <si>
    <t>1P</t>
  </si>
  <si>
    <t>700W</t>
  </si>
  <si>
    <t>80 GB HBM3</t>
  </si>
  <si>
    <t>3.0 TB/s</t>
  </si>
  <si>
    <t>900 GB/s，18通道</t>
  </si>
  <si>
    <t>400 Gb/s，4通道</t>
  </si>
  <si>
    <t>100 Gb/s</t>
  </si>
  <si>
    <t>2P</t>
  </si>
  <si>
    <t>2024（delay）</t>
  </si>
  <si>
    <t>B100</t>
  </si>
  <si>
    <t>1.75P</t>
  </si>
  <si>
    <t>192 GB HBM3e</t>
  </si>
  <si>
    <t>8.0 TB/s</t>
  </si>
  <si>
    <t>1800 GB/s，18通道</t>
  </si>
  <si>
    <t>100GB/s</t>
  </si>
  <si>
    <t>800 Gb/s，4/8通道</t>
  </si>
  <si>
    <t>100Gb/s（通道加倍）200 Gb/s（基于光通道）</t>
  </si>
  <si>
    <t>3.5P</t>
  </si>
  <si>
    <t>7P</t>
  </si>
  <si>
    <r>
      <t>2025年GTC宣布，</t>
    </r>
    <r>
      <rPr>
        <b/>
        <sz val="9"/>
        <color rgb="FF000000"/>
        <rFont val="微软雅黑"/>
        <family val="2"/>
        <charset val="134"/>
      </rPr>
      <t>与cpo绑定推出</t>
    </r>
  </si>
  <si>
    <t>Rubin系列</t>
  </si>
  <si>
    <t>预期1800W</t>
  </si>
  <si>
    <t>预期288GB HBM4</t>
  </si>
  <si>
    <t>预期13TB/s</t>
  </si>
  <si>
    <t>预期3600GB/</t>
  </si>
  <si>
    <t>算力与传输速率的关系</t>
    <phoneticPr fontId="4" type="noConversion"/>
  </si>
  <si>
    <t>年份</t>
    <phoneticPr fontId="4" type="noConversion"/>
  </si>
  <si>
    <t>算力（TFLOPS，FP16）</t>
    <phoneticPr fontId="4" type="noConversion"/>
  </si>
  <si>
    <t>材料</t>
  </si>
  <si>
    <t>技术范式</t>
  </si>
  <si>
    <t>有效传输速率</t>
  </si>
  <si>
    <t>有效连接距离</t>
  </si>
  <si>
    <t>单通道功耗</t>
  </si>
  <si>
    <t>适用场景</t>
  </si>
  <si>
    <t>铜</t>
  </si>
  <si>
    <r>
      <t>（1）行业均值：受</t>
    </r>
    <r>
      <rPr>
        <b/>
        <sz val="9"/>
        <color rgb="FF000000"/>
        <rFont val="微软雅黑"/>
        <family val="2"/>
        <charset val="134"/>
      </rPr>
      <t>电阻</t>
    </r>
    <r>
      <rPr>
        <sz val="9"/>
        <color rgb="FF000000"/>
        <rFont val="微软雅黑"/>
        <family val="2"/>
        <charset val="134"/>
      </rPr>
      <t>影响，传输速度超过单通道112Gbp/s时误码率可达40%以上；（2）Nvidia优化极限：NVL72中机柜内由全铜连接，传输速率224Gbp/s，看不到进一步优化空间；</t>
    </r>
  </si>
  <si>
    <t>（3）因此默认为80～224Gbp/s理论值；</t>
  </si>
  <si>
    <t>112Gbp/s内&lt;2.5米，逼近224Gbp/s&lt;1.2米</t>
  </si>
  <si>
    <t>3-5瓦</t>
  </si>
  <si>
    <t>短距离、成本敏感，低传输带宽需求</t>
  </si>
  <si>
    <t>光</t>
  </si>
  <si>
    <t>可插拔光模块</t>
  </si>
  <si>
    <t>400–800 Gbp/s</t>
  </si>
  <si>
    <t>米级/百米无衰减</t>
  </si>
  <si>
    <t>5-8瓦</t>
  </si>
  <si>
    <t>中远距离、高传输带宽需求</t>
  </si>
  <si>
    <t>cpo（Co-packaged Optics）</t>
  </si>
  <si>
    <t>800–1600 Gbp/s（行业目标）</t>
  </si>
  <si>
    <t>2.4瓦</t>
  </si>
  <si>
    <t>中远距离、功耗敏感、高传输带宽需求</t>
  </si>
  <si>
    <t>铜</t>
    <phoneticPr fontId="4" type="noConversion"/>
  </si>
  <si>
    <t>3-5瓦</t>
    <phoneticPr fontId="4" type="noConversion"/>
  </si>
  <si>
    <t>单通道功耗（瓦）</t>
    <phoneticPr fontId="4" type="noConversion"/>
  </si>
  <si>
    <t>5-8瓦</t>
    <phoneticPr fontId="4" type="noConversion"/>
  </si>
  <si>
    <t>可插拔光模块</t>
    <phoneticPr fontId="4" type="noConversion"/>
  </si>
  <si>
    <t>CPO</t>
    <phoneticPr fontId="4" type="noConversion"/>
  </si>
  <si>
    <t>其他</t>
    <phoneticPr fontId="4" type="noConversion"/>
  </si>
  <si>
    <t>10m对应像素</t>
    <phoneticPr fontId="4" type="noConversion"/>
  </si>
  <si>
    <t>Maximum Reach(m)</t>
    <phoneticPr fontId="4" type="noConversion"/>
  </si>
  <si>
    <t>Copper Link Speed(Gbps)</t>
    <phoneticPr fontId="4" type="noConversion"/>
  </si>
  <si>
    <t>Maximum Reach(像素)</t>
    <phoneticPr fontId="4" type="noConversion"/>
  </si>
  <si>
    <t>Optical Link Speed(Gbps)</t>
    <phoneticPr fontId="4" type="noConversion"/>
  </si>
  <si>
    <t>Power(w)</t>
    <phoneticPr fontId="4" type="noConversion"/>
  </si>
  <si>
    <t>10w对应像素</t>
    <phoneticPr fontId="4" type="noConversion"/>
  </si>
  <si>
    <t>Power(像素)</t>
    <phoneticPr fontId="4" type="noConversion"/>
  </si>
  <si>
    <t>400G</t>
  </si>
  <si>
    <t>800G</t>
  </si>
  <si>
    <t>1.6T</t>
  </si>
  <si>
    <t>3.2T</t>
  </si>
  <si>
    <t>新增IDC拆分</t>
    <phoneticPr fontId="4" type="noConversion"/>
  </si>
  <si>
    <t>2024E</t>
    <phoneticPr fontId="4" type="noConversion"/>
  </si>
  <si>
    <t>2025E</t>
    <phoneticPr fontId="4" type="noConversion"/>
  </si>
  <si>
    <t>2026E</t>
    <phoneticPr fontId="4" type="noConversion"/>
  </si>
  <si>
    <t>2027E</t>
    <phoneticPr fontId="4" type="noConversion"/>
  </si>
  <si>
    <t>2028E</t>
    <phoneticPr fontId="4" type="noConversion"/>
  </si>
  <si>
    <t>传统数据中心新增装机（GW，左轴）</t>
    <phoneticPr fontId="4" type="noConversion"/>
  </si>
  <si>
    <t>AIDC新增数据中心装机（GW，左轴）</t>
    <phoneticPr fontId="4" type="noConversion"/>
  </si>
  <si>
    <t>AI数据中心占比（右轴）</t>
    <phoneticPr fontId="4" type="noConversion"/>
  </si>
  <si>
    <t>铜互连（～2010）</t>
  </si>
  <si>
    <t>备注</t>
  </si>
  <si>
    <t>份额</t>
  </si>
  <si>
    <t>可插拔光模块（～2020）</t>
  </si>
  <si>
    <t>cpo（～2030）</t>
  </si>
  <si>
    <t>份额（预测）</t>
  </si>
  <si>
    <t>云计算、数据中心、移动互联网爆发，带宽需求持续放大，10G → 40G → 100G 光模块大规模商业化；</t>
  </si>
  <si>
    <t>400G光模块与AI需求爆发；技术升级期，板卡互连能力的提升只剩光学路径</t>
  </si>
  <si>
    <t>连接器+线缆</t>
  </si>
  <si>
    <t>距离越长传输越快，通道损耗和串扰导致越需要更多接口芯片，功耗、发热、误码、成本全面恶化</t>
  </si>
  <si>
    <t>光芯片+光源（激光器）</t>
  </si>
  <si>
    <t>（激光器被封装在盒子里）</t>
  </si>
  <si>
    <r>
      <t>（硅）光芯片</t>
    </r>
    <r>
      <rPr>
        <sz val="9"/>
        <color rgb="FF000000"/>
        <rFont val="微软雅黑"/>
        <family val="2"/>
        <charset val="134"/>
      </rPr>
      <t xml:space="preserve"> + 光源（外置光源）</t>
    </r>
  </si>
  <si>
    <t>硅光芯片：专门指：硅光子工艺做的光学引擎。</t>
  </si>
  <si>
    <t>物理层接口芯片（高速传输接口）</t>
  </si>
  <si>
    <t>电光接口芯片</t>
  </si>
  <si>
    <t>电→光转换接口芯片（解决长距离铜失效问题）</t>
  </si>
  <si>
    <t>电光接口芯片（高速接口）</t>
  </si>
  <si>
    <t>更高速的电光接口芯片（224G/lane），功耗成为新瓶颈</t>
  </si>
  <si>
    <t>光模块盒子（工程和供应链的最优形态）</t>
  </si>
  <si>
    <t>可插拔、易维护、工程和供应链的最优解；</t>
  </si>
  <si>
    <t>交换机芯片+光引擎封装</t>
  </si>
  <si>
    <t>随着带宽翻倍，前面板的连接变成成本压力之一；将光引擎直接贴在交换机芯片上，牺牲维护便利性以换取功耗优势。</t>
  </si>
  <si>
    <t>25%（被盒子吸走的利润回收</t>
  </si>
  <si>
    <t>周边硬件</t>
  </si>
  <si>
    <t>周边硬件（演化为封装与系统配套）</t>
  </si>
  <si>
    <t>指标维度</t>
  </si>
  <si>
    <t>具体指标</t>
  </si>
  <si>
    <t>2016E</t>
  </si>
  <si>
    <t>2017E</t>
  </si>
  <si>
    <t>2018E</t>
  </si>
  <si>
    <t>2019E</t>
  </si>
  <si>
    <t>2020E</t>
  </si>
  <si>
    <t>2021E</t>
  </si>
  <si>
    <t>2022E</t>
  </si>
  <si>
    <t>2023E</t>
  </si>
  <si>
    <t>2024E</t>
  </si>
  <si>
    <t>2025E</t>
  </si>
  <si>
    <t>2026E</t>
  </si>
  <si>
    <t>2027E</t>
  </si>
  <si>
    <t>出货量（万个）</t>
  </si>
  <si>
    <t>100G 光模块出货量</t>
  </si>
  <si>
    <t>200G 光模块出货量</t>
  </si>
  <si>
    <t>400G 光模块出货量</t>
  </si>
  <si>
    <t>800G 光模块出货量</t>
  </si>
  <si>
    <t>1.6T 光模块出货量</t>
  </si>
  <si>
    <t>单价（美元）</t>
  </si>
  <si>
    <t>100G 光模块单价（右轴）</t>
  </si>
  <si>
    <t>200G 光模块单价（右轴）</t>
  </si>
  <si>
    <t>400G 光模块单价（右轴）</t>
  </si>
  <si>
    <t>800G 光模块单价（右轴）</t>
  </si>
  <si>
    <t>1.6T 光模块单价（右轴）</t>
  </si>
  <si>
    <t>收入（亿美元）</t>
  </si>
  <si>
    <t>100G 光模块收入</t>
  </si>
  <si>
    <t>200G 光模块收入</t>
  </si>
  <si>
    <t>400G 光模块收入</t>
  </si>
  <si>
    <t>800G 光模块收入</t>
  </si>
  <si>
    <t>1.6T 光模块收入</t>
  </si>
  <si>
    <t>市场规模</t>
  </si>
  <si>
    <t>数通光模块市场规模（亿美元）</t>
  </si>
  <si>
    <t>增速</t>
  </si>
  <si>
    <t>合计同比增速（%）</t>
  </si>
  <si>
    <t>-</t>
  </si>
  <si>
    <t>CPO厂商排名</t>
    <phoneticPr fontId="4" type="noConversion"/>
  </si>
  <si>
    <t>共封装光学（CPO），全球前6强生产商排名及市场份额（by QYResearch）.pdf-原创力文档</t>
  </si>
  <si>
    <t>可插拔光模块厂商排名</t>
    <phoneticPr fontId="4" type="noConversion"/>
  </si>
  <si>
    <t>https://mp.weixin.qq.com/s/CANOEvpAJ8SMhO7PPVKmmA</t>
  </si>
  <si>
    <t>速率</t>
    <phoneticPr fontId="4" type="noConversion"/>
  </si>
  <si>
    <t>推理算力</t>
  </si>
  <si>
    <t>推理算力</t>
    <phoneticPr fontId="4" type="noConversion"/>
  </si>
  <si>
    <t>训练算力</t>
  </si>
  <si>
    <t>训练算力</t>
    <phoneticPr fontId="4" type="noConversion"/>
  </si>
  <si>
    <t>网络带宽</t>
  </si>
  <si>
    <t>网络带宽</t>
    <phoneticPr fontId="4" type="noConversion"/>
  </si>
  <si>
    <t>电力消耗</t>
    <phoneticPr fontId="4" type="noConversion"/>
  </si>
  <si>
    <t>2023A</t>
    <phoneticPr fontId="4" type="noConversion"/>
  </si>
  <si>
    <t>2028E</t>
  </si>
  <si>
    <t>2029E</t>
  </si>
  <si>
    <t>2030E</t>
  </si>
  <si>
    <t>占全球电力消耗比重（%）</t>
    <phoneticPr fontId="4" type="noConversion"/>
  </si>
  <si>
    <t>全球GPU算力集群电力消耗（TWh）</t>
    <phoneticPr fontId="4" type="noConversion"/>
  </si>
  <si>
    <t>像素</t>
    <phoneticPr fontId="4" type="noConversion"/>
  </si>
  <si>
    <t>光模块占比</t>
    <phoneticPr fontId="4" type="noConversion"/>
  </si>
  <si>
    <t>光模块功耗</t>
    <phoneticPr fontId="4" type="noConversion"/>
  </si>
  <si>
    <t>全球IDC用电量（TWh）</t>
    <phoneticPr fontId="4" type="noConversion"/>
  </si>
  <si>
    <t>光模块功耗（TWh）</t>
    <phoneticPr fontId="4" type="noConversion"/>
  </si>
  <si>
    <t>Bar0</t>
  </si>
  <si>
    <t>Bar1</t>
  </si>
  <si>
    <t>Bar2</t>
  </si>
  <si>
    <t>Bar3</t>
  </si>
  <si>
    <t>Bar4</t>
  </si>
  <si>
    <t>Bar5</t>
  </si>
  <si>
    <t>Bar6</t>
  </si>
  <si>
    <t>Bar7</t>
  </si>
  <si>
    <t>Bar8</t>
  </si>
  <si>
    <t>Bar9</t>
  </si>
  <si>
    <t>100G</t>
  </si>
  <si>
    <t>100G</t>
    <phoneticPr fontId="4" type="noConversion"/>
  </si>
  <si>
    <t>200G</t>
  </si>
  <si>
    <t>200G</t>
    <phoneticPr fontId="4" type="noConversion"/>
  </si>
  <si>
    <t>400G</t>
    <phoneticPr fontId="4" type="noConversion"/>
  </si>
  <si>
    <t>800G</t>
    <phoneticPr fontId="4" type="noConversion"/>
  </si>
  <si>
    <t>23Q1</t>
  </si>
  <si>
    <t>23Q1</t>
    <phoneticPr fontId="4" type="noConversion"/>
  </si>
  <si>
    <t>23Q2</t>
  </si>
  <si>
    <t>23Q2</t>
    <phoneticPr fontId="4" type="noConversion"/>
  </si>
  <si>
    <t>23Q3</t>
  </si>
  <si>
    <t>23Q3</t>
    <phoneticPr fontId="4" type="noConversion"/>
  </si>
  <si>
    <t>23Q4</t>
  </si>
  <si>
    <t>23Q4</t>
    <phoneticPr fontId="4" type="noConversion"/>
  </si>
  <si>
    <t>24Q1</t>
  </si>
  <si>
    <t>24Q1</t>
    <phoneticPr fontId="4" type="noConversion"/>
  </si>
  <si>
    <t>24Q2</t>
  </si>
  <si>
    <t>24Q2</t>
    <phoneticPr fontId="4" type="noConversion"/>
  </si>
  <si>
    <t>24Q3</t>
  </si>
  <si>
    <t>24Q3</t>
    <phoneticPr fontId="4" type="noConversion"/>
  </si>
  <si>
    <t>24Q4</t>
  </si>
  <si>
    <t>24Q4</t>
    <phoneticPr fontId="4" type="noConversion"/>
  </si>
  <si>
    <t>25Q1E</t>
  </si>
  <si>
    <t>25Q1E</t>
    <phoneticPr fontId="4" type="noConversion"/>
  </si>
  <si>
    <t>25Q2E</t>
  </si>
  <si>
    <t>25Q2E</t>
    <phoneticPr fontId="4" type="noConversion"/>
  </si>
  <si>
    <t>以太网光模块季度销售额（百万美元）</t>
    <phoneticPr fontId="4" type="noConversion"/>
  </si>
  <si>
    <t>招商证券预测</t>
    <phoneticPr fontId="4" type="noConversion"/>
  </si>
  <si>
    <t>800G-像素</t>
    <phoneticPr fontId="4" type="noConversion"/>
  </si>
  <si>
    <t>1.6T-像素</t>
    <phoneticPr fontId="4" type="noConversion"/>
  </si>
  <si>
    <t>3.2T-像素</t>
    <phoneticPr fontId="4" type="noConversion"/>
  </si>
  <si>
    <t>500对应像素值</t>
    <phoneticPr fontId="4" type="noConversion"/>
  </si>
  <si>
    <t>1.6T</t>
    <phoneticPr fontId="4" type="noConversion"/>
  </si>
  <si>
    <t>3.2T</t>
    <phoneticPr fontId="4" type="noConversion"/>
  </si>
  <si>
    <t>CPO渗透率</t>
    <phoneticPr fontId="4" type="noConversion"/>
  </si>
  <si>
    <t>CPO出货量</t>
    <phoneticPr fontId="4" type="noConversion"/>
  </si>
  <si>
    <t>公司官网</t>
    <phoneticPr fontId="4" type="noConversion"/>
  </si>
  <si>
    <t>Innovators in Co-Packaged Optics for LLM Data Transfer | Ayar Labs</t>
  </si>
  <si>
    <t>公司历史</t>
    <phoneticPr fontId="4" type="noConversion"/>
  </si>
  <si>
    <t>事件</t>
    <phoneticPr fontId="4" type="noConversion"/>
  </si>
  <si>
    <t>First ever monolithic microringtransmitters demonstrated</t>
  </si>
  <si>
    <t>Company created: Ayar Labs；First ever CPU chip to communicate with optical I/O</t>
    <phoneticPr fontId="4" type="noConversion"/>
  </si>
  <si>
    <t>$2M seed round</t>
  </si>
  <si>
    <t>Strategic partnership formedwith GlobalFoundries; Prototype 45nm optical chip</t>
    <phoneticPr fontId="4" type="noConversion"/>
  </si>
  <si>
    <t>$24M Series A；Integration into eval boards
with Intel FPGA</t>
    <phoneticPr fontId="4" type="noConversion"/>
  </si>
  <si>
    <t>Selected as optical solution for Intel's DARPA PIPES Project</t>
    <phoneticPr fontId="4" type="noConversion"/>
  </si>
  <si>
    <t>S35M Series B；First working silicon in next-gen45nm silicon photonics process；Intel &amp; Ayar Labs demonstrateoptical l/O in FPGA for PIPES；CW-WDM MSA established</t>
    <phoneticPr fontId="4" type="noConversion"/>
  </si>
  <si>
    <t>$130M Series C; First volume shipments; Technology partnerships
formed with HPE, Lockheed
Martin, NVIDIA; Supply chain partnerships
formed with Lumentum, Sivers</t>
    <phoneticPr fontId="4" type="noConversion"/>
  </si>
  <si>
    <t xml:space="preserve">First Tbps optical link demonstrated; Suppy chain partnership formed with MACOM </t>
    <phoneticPr fontId="4" type="noConversion"/>
  </si>
  <si>
    <t>$25M Series C-1; Publicly demonstrated
industry's first 4-Tbps optical
solution</t>
    <phoneticPr fontId="4" type="noConversion"/>
  </si>
  <si>
    <t>S155M Series D</t>
    <phoneticPr fontId="4" type="noConversion"/>
  </si>
  <si>
    <t>Announced world's first UCle
optical chiplet
Opened Hsinchu, Taiwan office</t>
    <phoneticPr fontId="4" type="noConversion"/>
  </si>
  <si>
    <t>产品带宽代际表</t>
    <phoneticPr fontId="4" type="noConversion"/>
  </si>
  <si>
    <t>产品</t>
    <phoneticPr fontId="4" type="noConversion"/>
  </si>
  <si>
    <t>TeraPHY芯片</t>
  </si>
  <si>
    <t>最新进展</t>
    <phoneticPr fontId="4" type="noConversion"/>
  </si>
  <si>
    <t>https://mp.weixin.qq.com/s/ijz0PoMqeeBKoMbBJ38VKg</t>
  </si>
  <si>
    <t>可插拔</t>
    <phoneticPr fontId="4" type="noConversion"/>
  </si>
  <si>
    <t>万卡集群所需端口数</t>
    <phoneticPr fontId="4" type="noConversion"/>
  </si>
  <si>
    <t>https://mp.weixin.qq.com/s/6w7MDsfSJvPORK87GXj_CQ</t>
  </si>
  <si>
    <t>功耗（W）</t>
    <phoneticPr fontId="4" type="noConversion"/>
  </si>
  <si>
    <t>GB200 NVL72 2层架构（交换机采用Quantum X800）</t>
    <phoneticPr fontId="4" type="noConversion"/>
  </si>
  <si>
    <t>微组装</t>
    <phoneticPr fontId="4" type="noConversion"/>
  </si>
  <si>
    <t>自动化测试</t>
  </si>
  <si>
    <t>收入占比</t>
    <phoneticPr fontId="4" type="noConversion"/>
  </si>
  <si>
    <t>2021年～2023年营业收入分别为2.79亿、2.87亿、2.57亿；
毛利分别为34.4%、41.6%、40.2%；
利润分别为：-5800万、-2200万、-1400万；</t>
    <phoneticPr fontId="4" type="noConversion"/>
  </si>
  <si>
    <t>营收</t>
    <phoneticPr fontId="4" type="noConversion"/>
  </si>
  <si>
    <t>毛利率</t>
    <phoneticPr fontId="4" type="noConversion"/>
  </si>
  <si>
    <t>净利润</t>
    <phoneticPr fontId="4" type="noConversion"/>
  </si>
  <si>
    <t>客户占比</t>
    <phoneticPr fontId="4" type="noConversion"/>
  </si>
  <si>
    <t>前五大客户</t>
    <phoneticPr fontId="4" type="noConversion"/>
  </si>
  <si>
    <t>供应商占比</t>
    <phoneticPr fontId="4" type="noConversion"/>
  </si>
  <si>
    <t>Tech Group AS</t>
  </si>
  <si>
    <t>GPU 型号</t>
  </si>
  <si>
    <t>架构</t>
  </si>
  <si>
    <t>发布时间</t>
  </si>
  <si>
    <t>CUDA 核心数</t>
  </si>
  <si>
    <t>Tensor 核心数（代）</t>
  </si>
  <si>
    <t>显存(类型)</t>
  </si>
  <si>
    <t>NVLink 带宽</t>
  </si>
  <si>
    <t>主要用途</t>
  </si>
  <si>
    <t>主要特点</t>
  </si>
  <si>
    <t>市场价格(预估)</t>
  </si>
  <si>
    <t>B200</t>
  </si>
  <si>
    <t>Blackwell</t>
  </si>
  <si>
    <t>192GB (HBM3e)</t>
  </si>
  <si>
    <t>8TB/s</t>
  </si>
  <si>
    <t>1.8TB/s(Gen5)</t>
  </si>
  <si>
    <t>高性能AI 训练、推理</t>
  </si>
  <si>
    <t>2080 亿晶体管, FP4 支持, 液体冷却, 性能大幅提升</t>
  </si>
  <si>
    <t>约 22-29 万人民币</t>
  </si>
  <si>
    <t>H200</t>
  </si>
  <si>
    <t>Hopper</t>
  </si>
  <si>
    <t>576(4th)</t>
  </si>
  <si>
    <t>141GB (HBM3e)</t>
  </si>
  <si>
    <t>4.8TB/s</t>
  </si>
  <si>
    <t>900GB/s(Gen4)</t>
  </si>
  <si>
    <t>AI 训练、高性能计算</t>
  </si>
  <si>
    <t>H100 升级版, 显存容量与带宽大幅提升</t>
  </si>
  <si>
    <t>约 22-26 万人民币</t>
  </si>
  <si>
    <t>528(4th)</t>
  </si>
  <si>
    <t>80GB (HBM3)</t>
  </si>
  <si>
    <t>3.35TB/s</t>
  </si>
  <si>
    <t>大规模AI 训练、HPC、Transformer Engine</t>
  </si>
  <si>
    <t>支持 FP8, 高计算密度, 性能领先一代</t>
  </si>
  <si>
    <t>约 19-22 万人民币</t>
  </si>
  <si>
    <t>Ampere</t>
  </si>
  <si>
    <t>432(3rd)</t>
  </si>
  <si>
    <t>80GB (HBM2e)</t>
  </si>
  <si>
    <t>2TB/s</t>
  </si>
  <si>
    <t>600GB/s(Gen3)</t>
  </si>
  <si>
    <t>AI 训练、推理、HPC</t>
  </si>
  <si>
    <t>支持 MIG, 多精度计算, 广泛应用</t>
  </si>
  <si>
    <t>约 12-15 万人民币</t>
  </si>
  <si>
    <t>H800</t>
  </si>
  <si>
    <t>≈ 2TB/s(受限)</t>
  </si>
  <si>
    <t>400GB/s(Gen4,受限)</t>
  </si>
  <si>
    <t>中国市场 AI 训练、大规模推理</t>
  </si>
  <si>
    <t>基于 H100,受限于出口管制,带宽降低</t>
  </si>
  <si>
    <t>约 6-7 万人民币</t>
  </si>
  <si>
    <t>A800</t>
  </si>
  <si>
    <t>400GB/s(Gen3,受限)</t>
  </si>
  <si>
    <t>中国市场 AI 推理、训练</t>
  </si>
  <si>
    <t>基于 A100,受限于出口管制, NVLink 带宽降低</t>
  </si>
  <si>
    <t>约 7-10 万人民币</t>
  </si>
  <si>
    <t>H20</t>
  </si>
  <si>
    <t>448(4th)</t>
  </si>
  <si>
    <t>96GB (HBM2e)</t>
  </si>
  <si>
    <t>200GB/s(Gen4,受限) 部分资料 900GB/s</t>
  </si>
  <si>
    <t>中国市场 AI 训练、推理</t>
  </si>
  <si>
    <t>性能介于 A800 和 H800 之间, 大显存, 符合出口管制</t>
  </si>
  <si>
    <t>约 6-5.8 万人民币</t>
  </si>
  <si>
    <t>国内GPU受限情况</t>
    <phoneticPr fontId="4" type="noConversion"/>
  </si>
  <si>
    <r>
      <rPr>
        <b/>
        <sz val="11"/>
        <color rgb="FF000000"/>
        <rFont val="等线"/>
        <family val="2"/>
        <charset val="134"/>
      </rPr>
      <t>代数</t>
    </r>
    <phoneticPr fontId="4" type="noConversion"/>
  </si>
  <si>
    <r>
      <t xml:space="preserve">NVLink </t>
    </r>
    <r>
      <rPr>
        <b/>
        <sz val="11"/>
        <color rgb="FF000000"/>
        <rFont val="微软雅黑"/>
        <family val="2"/>
        <charset val="134"/>
      </rPr>
      <t>带宽</t>
    </r>
    <r>
      <rPr>
        <b/>
        <sz val="11"/>
        <color rgb="FF000000"/>
        <rFont val="Inherit"/>
        <family val="2"/>
      </rPr>
      <t>（GB/s）</t>
    </r>
    <phoneticPr fontId="4" type="noConversion"/>
  </si>
  <si>
    <t>Gen5</t>
    <phoneticPr fontId="4" type="noConversion"/>
  </si>
  <si>
    <t>Gen4,受限</t>
  </si>
  <si>
    <t>Gen4</t>
    <phoneticPr fontId="4" type="noConversion"/>
  </si>
  <si>
    <t>华为CM384与GB200 NVL72对比</t>
    <phoneticPr fontId="4" type="noConversion"/>
  </si>
  <si>
    <t>对比层级</t>
  </si>
  <si>
    <t>参数项目</t>
  </si>
  <si>
    <t>单位</t>
  </si>
  <si>
    <t>Nvidia GB200 NVL72</t>
  </si>
  <si>
    <t>Huawei Cloud Matrix CM384</t>
  </si>
  <si>
    <t>华为 vs. 英伟达</t>
  </si>
  <si>
    <r>
      <t>​</t>
    </r>
    <r>
      <rPr>
        <sz val="11"/>
        <color rgb="FF000000"/>
        <rFont val="Segoe UI"/>
        <family val="2"/>
      </rPr>
      <t>芯片与封装级</t>
    </r>
    <r>
      <rPr>
        <sz val="11"/>
        <color rgb="FF000000"/>
        <rFont val="Inherit"/>
        <family val="2"/>
      </rPr>
      <t>​</t>
    </r>
  </si>
  <si>
    <t>BF16 密集计算性能</t>
  </si>
  <si>
    <t>0.3x</t>
  </si>
  <si>
    <t>HBM 显存容量</t>
  </si>
  <si>
    <t>GB</t>
  </si>
  <si>
    <t>0.7x</t>
  </si>
  <si>
    <t>HBM 显存带宽</t>
  </si>
  <si>
    <t>TB/s</t>
  </si>
  <si>
    <t>0.4x</t>
  </si>
  <si>
    <r>
      <t>​</t>
    </r>
    <r>
      <rPr>
        <sz val="11"/>
        <color rgb="FF000000"/>
        <rFont val="Segoe UI"/>
        <family val="2"/>
      </rPr>
      <t>Scale Up 带宽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</si>
  <si>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Gb/s (单向)​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</si>
  <si>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7,200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</si>
  <si>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2,800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</si>
  <si>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0.4x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</si>
  <si>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Scale Out 带宽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</si>
  <si>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400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</si>
  <si>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1.0x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</si>
  <si>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系统级</t>
    </r>
    <r>
      <rPr>
        <sz val="11"/>
        <color rgb="FF000000"/>
        <rFont val="Inherit"/>
        <family val="2"/>
      </rPr>
      <t>​</t>
    </r>
  </si>
  <si>
    <t>PFLOPS</t>
  </si>
  <si>
    <t>1.7x</t>
  </si>
  <si>
    <t>HBM 总显存容量</t>
  </si>
  <si>
    <t>TB</t>
  </si>
  <si>
    <t>3.6x</t>
  </si>
  <si>
    <t>HBM 总显存带宽</t>
  </si>
  <si>
    <t>2.1x</t>
  </si>
  <si>
    <r>
      <t>​</t>
    </r>
    <r>
      <rPr>
        <sz val="11"/>
        <color rgb="FF000000"/>
        <rFont val="Segoe UI"/>
        <family val="2"/>
      </rPr>
      <t>Scale Up 总带宽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</si>
  <si>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518,400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</si>
  <si>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1,075,200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</si>
  <si>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2.1x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</si>
  <si>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Scale Up 域大小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</si>
  <si>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GPU数量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</si>
  <si>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72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</si>
  <si>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384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</si>
  <si>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5.3x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</si>
  <si>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Scale Out 总带宽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</si>
  <si>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28,800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</si>
  <si>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153,600</t>
    </r>
    <r>
      <rPr>
        <sz val="11"/>
        <color rgb="FF000000"/>
        <rFont val="Inherit"/>
        <family val="2"/>
      </rPr>
      <t>​</t>
    </r>
  </si>
  <si>
    <t>系统总功耗</t>
  </si>
  <si>
    <t>W</t>
  </si>
  <si>
    <t>3.9x</t>
  </si>
  <si>
    <t>每TFLOP性能功耗</t>
  </si>
  <si>
    <t>W/TFLOP</t>
  </si>
  <si>
    <t>2.3x</t>
  </si>
  <si>
    <t>每显存带宽功耗</t>
  </si>
  <si>
    <t>W per TB/s</t>
  </si>
  <si>
    <t>1.8x</t>
  </si>
  <si>
    <t>每显存容量功耗</t>
  </si>
  <si>
    <t>kW/TB</t>
  </si>
  <si>
    <t>1.1x</t>
  </si>
  <si>
    <t>华为CM384</t>
    <phoneticPr fontId="4" type="noConversion"/>
  </si>
  <si>
    <t>GB200 NVL72</t>
    <phoneticPr fontId="4" type="noConversion"/>
  </si>
  <si>
    <r>
      <rPr>
        <b/>
        <sz val="11"/>
        <color rgb="FF000000"/>
        <rFont val="等线"/>
        <family val="2"/>
        <charset val="134"/>
      </rPr>
      <t>单卡</t>
    </r>
    <r>
      <rPr>
        <b/>
        <sz val="11"/>
        <color rgb="FF000000"/>
        <rFont val="Inherit"/>
        <family val="2"/>
      </rPr>
      <t>Scale Up</t>
    </r>
    <r>
      <rPr>
        <b/>
        <sz val="11"/>
        <color rgb="FF000000"/>
        <rFont val="等线"/>
        <family val="2"/>
        <charset val="134"/>
      </rPr>
      <t>带宽（</t>
    </r>
    <r>
      <rPr>
        <b/>
        <sz val="11"/>
        <color rgb="FF000000"/>
        <rFont val="Inherit"/>
        <family val="2"/>
      </rPr>
      <t>TB/s</t>
    </r>
    <r>
      <rPr>
        <b/>
        <sz val="11"/>
        <color rgb="FF000000"/>
        <rFont val="等线"/>
        <family val="2"/>
        <charset val="134"/>
      </rPr>
      <t>）</t>
    </r>
    <phoneticPr fontId="4" type="noConversion"/>
  </si>
  <si>
    <t>整体Scale Up带宽（PB/s）</t>
    <phoneticPr fontId="4" type="noConversion"/>
  </si>
  <si>
    <r>
      <t xml:space="preserve">BF16 </t>
    </r>
    <r>
      <rPr>
        <sz val="11"/>
        <color rgb="FF000000"/>
        <rFont val="微软雅黑"/>
        <family val="2"/>
        <charset val="134"/>
      </rPr>
      <t>密集计算性能</t>
    </r>
    <phoneticPr fontId="4" type="noConversion"/>
  </si>
  <si>
    <t>TFLOPS</t>
    <phoneticPr fontId="4" type="noConversion"/>
  </si>
  <si>
    <r>
      <rPr>
        <b/>
        <sz val="11"/>
        <color rgb="FF000000"/>
        <rFont val="等线"/>
        <family val="2"/>
        <charset val="134"/>
      </rPr>
      <t>单卡</t>
    </r>
    <r>
      <rPr>
        <b/>
        <sz val="11"/>
        <color rgb="FF000000"/>
        <rFont val="Inherit"/>
        <family val="2"/>
      </rPr>
      <t xml:space="preserve">BF16 </t>
    </r>
    <r>
      <rPr>
        <b/>
        <sz val="11"/>
        <color rgb="FF000000"/>
        <rFont val="微软雅黑"/>
        <family val="2"/>
        <charset val="134"/>
      </rPr>
      <t>密集计算性能</t>
    </r>
    <r>
      <rPr>
        <b/>
        <sz val="11"/>
        <color rgb="FF000000"/>
        <rFont val="等线"/>
        <family val="2"/>
        <charset val="134"/>
      </rPr>
      <t>（</t>
    </r>
    <r>
      <rPr>
        <b/>
        <sz val="11"/>
        <color rgb="FF000000"/>
        <rFont val="Inherit"/>
        <family val="2"/>
      </rPr>
      <t>TFLOPS</t>
    </r>
    <r>
      <rPr>
        <b/>
        <sz val="11"/>
        <color rgb="FF000000"/>
        <rFont val="等线"/>
        <family val="2"/>
        <charset val="134"/>
      </rPr>
      <t>）</t>
    </r>
    <phoneticPr fontId="4" type="noConversion"/>
  </si>
  <si>
    <r>
      <rPr>
        <b/>
        <sz val="11"/>
        <color rgb="FF000000"/>
        <rFont val="微软雅黑"/>
        <family val="2"/>
        <charset val="134"/>
      </rPr>
      <t>整体</t>
    </r>
    <r>
      <rPr>
        <b/>
        <sz val="11"/>
        <color rgb="FF000000"/>
        <rFont val="Arial"/>
        <family val="2"/>
      </rPr>
      <t xml:space="preserve">BF16 </t>
    </r>
    <r>
      <rPr>
        <b/>
        <sz val="11"/>
        <color rgb="FF000000"/>
        <rFont val="微软雅黑"/>
        <family val="2"/>
        <charset val="134"/>
      </rPr>
      <t>密集计算性能</t>
    </r>
    <r>
      <rPr>
        <b/>
        <sz val="11"/>
        <color rgb="FF000000"/>
        <rFont val="等线"/>
        <family val="2"/>
        <charset val="134"/>
      </rPr>
      <t>（P</t>
    </r>
    <r>
      <rPr>
        <b/>
        <sz val="11"/>
        <color rgb="FF000000"/>
        <rFont val="Inherit"/>
        <family val="2"/>
      </rPr>
      <t>FLOPS</t>
    </r>
    <r>
      <rPr>
        <b/>
        <sz val="11"/>
        <color rgb="FF000000"/>
        <rFont val="等线"/>
        <family val="2"/>
        <charset val="134"/>
      </rPr>
      <t>）</t>
    </r>
    <phoneticPr fontId="4" type="noConversion"/>
  </si>
  <si>
    <r>
      <t>​</t>
    </r>
    <r>
      <rPr>
        <sz val="11"/>
        <color rgb="FF000000"/>
        <rFont val="Segoe UI"/>
        <family val="2"/>
      </rPr>
      <t>核心网络标准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</si>
  <si>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生态策略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</si>
  <si>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关键产业盟友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</si>
  <si>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商业模式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</si>
  <si>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​“赋能者”(Enabler)​</t>
    </r>
    <r>
      <rPr>
        <sz val="11"/>
        <color rgb="FF000000"/>
        <rFont val="Inherit"/>
        <family val="2"/>
      </rPr>
      <t>​</t>
    </r>
  </si>
  <si>
    <r>
      <t>• 提供</t>
    </r>
    <r>
      <rPr>
        <sz val="11"/>
        <color rgb="FF000000"/>
        <rFont val="Segoe UI"/>
        <family val="2"/>
      </rPr>
      <t>核心芯片</t>
    </r>
    <r>
      <rPr>
        <sz val="11"/>
        <color rgb="FF000000"/>
        <rFont val="Inherit"/>
        <family val="2"/>
      </rPr>
      <t>​（Tomahawk交换机芯片、PHY、ASIC）</t>
    </r>
  </si>
  <si>
    <r>
      <t>• ​</t>
    </r>
    <r>
      <rPr>
        <sz val="11"/>
        <color rgb="FF000000"/>
        <rFont val="Segoe UI"/>
        <family val="2"/>
      </rPr>
      <t>卖组件</t>
    </r>
    <r>
      <rPr>
        <sz val="11"/>
        <color rgb="FF000000"/>
        <rFont val="Inherit"/>
        <family val="2"/>
      </rPr>
      <t>，客户自主集成设计</t>
    </r>
  </si>
  <si>
    <r>
      <t>​</t>
    </r>
    <r>
      <rPr>
        <sz val="11"/>
        <color rgb="FF000000"/>
        <rFont val="Segoe UI"/>
        <family val="2"/>
      </rPr>
      <t>​“统治者”(Ruler)​</t>
    </r>
    <r>
      <rPr>
        <sz val="11"/>
        <color rgb="FF000000"/>
        <rFont val="Inherit"/>
        <family val="2"/>
      </rPr>
      <t>​</t>
    </r>
  </si>
  <si>
    <r>
      <t>• 提供</t>
    </r>
    <r>
      <rPr>
        <sz val="11"/>
        <color rgb="FF000000"/>
        <rFont val="Segoe UI"/>
        <family val="2"/>
      </rPr>
      <t>端到端全栈方案</t>
    </r>
    <r>
      <rPr>
        <sz val="11"/>
        <color rgb="FF000000"/>
        <rFont val="Inherit"/>
        <family val="2"/>
      </rPr>
      <t>​（GPU+交换机+网卡+软件）</t>
    </r>
  </si>
  <si>
    <r>
      <t>• ​</t>
    </r>
    <r>
      <rPr>
        <sz val="11"/>
        <color rgb="FF000000"/>
        <rFont val="Segoe UI"/>
        <family val="2"/>
      </rPr>
      <t>卖整系统</t>
    </r>
    <r>
      <rPr>
        <sz val="11"/>
        <color rgb="FF000000"/>
        <rFont val="Inherit"/>
        <family val="2"/>
      </rPr>
      <t>，客户被动接受</t>
    </r>
  </si>
  <si>
    <r>
      <t>​</t>
    </r>
    <r>
      <rPr>
        <sz val="11"/>
        <color rgb="FF000000"/>
        <rFont val="Segoe UI"/>
        <family val="2"/>
      </rPr>
      <t>战略目标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</si>
  <si>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通过开放生态“合纵”破局</t>
    </r>
    <r>
      <rPr>
        <sz val="11"/>
        <color rgb="FF000000"/>
        <rFont val="Inherit"/>
        <family val="2"/>
      </rPr>
      <t>​</t>
    </r>
  </si>
  <si>
    <r>
      <t>• 联合所有不想被英伟达绑定的玩家，​</t>
    </r>
    <r>
      <rPr>
        <sz val="11"/>
        <color rgb="FF000000"/>
        <rFont val="Segoe UI"/>
        <family val="2"/>
      </rPr>
      <t>重新夺回网络标准的主导权</t>
    </r>
    <r>
      <rPr>
        <sz val="11"/>
        <color rgb="FF000000"/>
        <rFont val="Inherit"/>
        <family val="2"/>
      </rPr>
      <t>，将市场从封闭引向开放</t>
    </r>
  </si>
  <si>
    <r>
      <t>​</t>
    </r>
    <r>
      <rPr>
        <sz val="11"/>
        <color rgb="FF000000"/>
        <rFont val="Segoe UI"/>
        <family val="2"/>
      </rPr>
      <t>维持全栈垄断地位</t>
    </r>
    <r>
      <rPr>
        <sz val="11"/>
        <color rgb="FF000000"/>
        <rFont val="Inherit"/>
        <family val="2"/>
      </rPr>
      <t>​</t>
    </r>
  </si>
  <si>
    <r>
      <t>• 加固以</t>
    </r>
    <r>
      <rPr>
        <sz val="11"/>
        <color rgb="FF000000"/>
        <rFont val="Segoe UI"/>
        <family val="2"/>
      </rPr>
      <t>CUDA和InfiniBand</t>
    </r>
    <r>
      <rPr>
        <sz val="11"/>
        <color rgb="FF000000"/>
        <rFont val="Inherit"/>
        <family val="2"/>
      </rPr>
      <t>为核心的“护城河”，将网络优势作为GPU销售的保障</t>
    </r>
  </si>
  <si>
    <r>
      <t>​</t>
    </r>
    <r>
      <rPr>
        <sz val="11"/>
        <color rgb="FF000000"/>
        <rFont val="微软雅黑"/>
        <family val="2"/>
        <charset val="134"/>
      </rPr>
      <t>以太网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，IEEE标准，开放且通用</t>
    </r>
    <phoneticPr fontId="4" type="noConversion"/>
  </si>
  <si>
    <r>
      <t>​</t>
    </r>
    <r>
      <rPr>
        <sz val="11"/>
        <color rgb="FF000000"/>
        <rFont val="Segoe UI"/>
        <family val="2"/>
      </rPr>
      <t>InfiniBand</t>
    </r>
    <r>
      <rPr>
        <sz val="11"/>
        <color rgb="FF000000"/>
        <rFont val="Inherit"/>
        <family val="2"/>
      </rPr>
      <t>​，​英伟达私有协议，封闭且专用</t>
    </r>
    <phoneticPr fontId="4" type="noConversion"/>
  </si>
  <si>
    <r>
      <t>• ​​“GPU+NVLink+IB”</t>
    </r>
    <r>
      <rPr>
        <sz val="11"/>
        <color rgb="FF000000"/>
        <rFont val="宋体"/>
        <family val="3"/>
        <charset val="134"/>
      </rPr>
      <t>软硬件全栈锁定</t>
    </r>
    <r>
      <rPr>
        <sz val="11"/>
        <color rgb="FF000000"/>
        <rFont val="Inherit"/>
        <family val="2"/>
      </rPr>
      <t>​</t>
    </r>
  </si>
  <si>
    <r>
      <rPr>
        <sz val="11"/>
        <color rgb="FF000000"/>
        <rFont val="微软雅黑"/>
        <family val="2"/>
        <charset val="134"/>
      </rPr>
      <t>反对供应商锁定</t>
    </r>
    <r>
      <rPr>
        <sz val="11"/>
        <color rgb="FF000000"/>
        <rFont val="MS Gothic"/>
        <family val="3"/>
        <charset val="128"/>
      </rPr>
      <t>​</t>
    </r>
    <r>
      <rPr>
        <sz val="11"/>
        <color rgb="FF000000"/>
        <rFont val="微软雅黑"/>
        <family val="2"/>
        <charset val="134"/>
      </rPr>
      <t>：客户可自由选择硬件</t>
    </r>
    <phoneticPr fontId="4" type="noConversion"/>
  </si>
  <si>
    <r>
      <rPr>
        <b/>
        <sz val="11"/>
        <color rgb="FF000000"/>
        <rFont val="微软雅黑"/>
        <family val="2"/>
        <charset val="134"/>
      </rPr>
      <t>博通</t>
    </r>
    <r>
      <rPr>
        <b/>
        <sz val="11"/>
        <color rgb="FF000000"/>
        <rFont val="Arial"/>
        <family val="2"/>
      </rPr>
      <t xml:space="preserve"> (Broadcom) - </t>
    </r>
    <r>
      <rPr>
        <b/>
        <sz val="11"/>
        <color rgb="FF000000"/>
        <rFont val="Inherit"/>
        <family val="2"/>
        <charset val="134"/>
      </rPr>
      <t>​</t>
    </r>
    <r>
      <rPr>
        <sz val="11"/>
        <color rgb="FF000000"/>
        <rFont val="微软雅黑"/>
        <family val="2"/>
        <charset val="134"/>
      </rPr>
      <t>赋能者</t>
    </r>
    <phoneticPr fontId="4" type="noConversion"/>
  </si>
  <si>
    <r>
      <rPr>
        <b/>
        <sz val="11"/>
        <color rgb="FF000000"/>
        <rFont val="微软雅黑"/>
        <family val="2"/>
        <charset val="134"/>
      </rPr>
      <t>英伟达</t>
    </r>
    <r>
      <rPr>
        <b/>
        <sz val="11"/>
        <color rgb="FF000000"/>
        <rFont val="Arial"/>
        <family val="2"/>
      </rPr>
      <t xml:space="preserve"> (NVIDIA) - </t>
    </r>
    <r>
      <rPr>
        <b/>
        <sz val="11"/>
        <color rgb="FF000000"/>
        <rFont val="Inherit"/>
        <family val="2"/>
        <charset val="134"/>
      </rPr>
      <t>​</t>
    </r>
    <r>
      <rPr>
        <sz val="11"/>
        <color rgb="FF000000"/>
        <rFont val="微软雅黑"/>
        <family val="2"/>
        <charset val="134"/>
      </rPr>
      <t>统治者</t>
    </r>
    <phoneticPr fontId="4" type="noConversion"/>
  </si>
  <si>
    <r>
      <t>​</t>
    </r>
    <r>
      <rPr>
        <sz val="11"/>
        <color rgb="FF000000"/>
        <rFont val="微软雅黑"/>
        <family val="2"/>
        <charset val="134"/>
      </rPr>
      <t>超大规模云厂商</t>
    </r>
    <r>
      <rPr>
        <sz val="11"/>
        <color rgb="FF000000"/>
        <rFont val="Segoe UI"/>
        <family val="2"/>
      </rPr>
      <t xml:space="preserve"> (Hyperscalers)</t>
    </r>
    <r>
      <rPr>
        <sz val="11"/>
        <color rgb="FF000000"/>
        <rFont val="Inherit"/>
        <family val="2"/>
        <charset val="134"/>
      </rPr>
      <t>​</t>
    </r>
    <r>
      <rPr>
        <sz val="11"/>
        <color rgb="FF000000"/>
        <rFont val="Inherit"/>
        <family val="2"/>
      </rPr>
      <t>​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Inherit"/>
        <family val="2"/>
      </rPr>
      <t>Meta、微软、谷歌</t>
    </r>
    <phoneticPr fontId="4" type="noConversion"/>
  </si>
  <si>
    <r>
      <t>​</t>
    </r>
    <r>
      <rPr>
        <sz val="11"/>
        <color rgb="FF000000"/>
        <rFont val="微软雅黑"/>
        <family val="2"/>
        <charset val="134"/>
      </rPr>
      <t>硬件伙伴</t>
    </r>
    <r>
      <rPr>
        <sz val="11"/>
        <color rgb="FF000000"/>
        <rFont val="Inherit"/>
        <family val="2"/>
      </rPr>
      <t>​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Inherit"/>
        <family val="2"/>
      </rPr>
      <t xml:space="preserve">• </t>
    </r>
    <r>
      <rPr>
        <sz val="11"/>
        <color rgb="FF000000"/>
        <rFont val="微软雅黑"/>
        <family val="2"/>
        <charset val="134"/>
      </rPr>
      <t>白牌交换机厂商（如</t>
    </r>
    <r>
      <rPr>
        <sz val="11"/>
        <color rgb="FF000000"/>
        <rFont val="Arial"/>
        <family val="2"/>
      </rPr>
      <t>Arista</t>
    </r>
    <r>
      <rPr>
        <sz val="11"/>
        <color rgb="FF000000"/>
        <rFont val="微软雅黑"/>
        <family val="2"/>
        <charset val="134"/>
      </rPr>
      <t>）</t>
    </r>
    <r>
      <rPr>
        <sz val="11"/>
        <color rgb="FF000000"/>
        <rFont val="Inherit"/>
        <family val="2"/>
      </rPr>
      <t>，• 光模块/组件供应商</t>
    </r>
    <phoneticPr fontId="4" type="noConversion"/>
  </si>
  <si>
    <r>
      <t>​</t>
    </r>
    <r>
      <rPr>
        <sz val="11"/>
        <color rgb="FF000000"/>
        <rFont val="微软雅黑"/>
        <family val="2"/>
        <charset val="134"/>
      </rPr>
      <t>传统</t>
    </r>
    <r>
      <rPr>
        <sz val="11"/>
        <color rgb="FF000000"/>
        <rFont val="Segoe UI"/>
        <family val="2"/>
      </rPr>
      <t>OEM/</t>
    </r>
    <r>
      <rPr>
        <sz val="11"/>
        <color rgb="FF000000"/>
        <rFont val="微软雅黑"/>
        <family val="2"/>
        <charset val="134"/>
      </rPr>
      <t>系统集成商</t>
    </r>
    <r>
      <rPr>
        <sz val="11"/>
        <color rgb="FF000000"/>
        <rFont val="Inherit"/>
        <family val="2"/>
      </rPr>
      <t>​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Inherit"/>
        <family val="2"/>
      </rPr>
      <t>• ​戴尔(Dell)​、慧与(HPE)​​ - 销售英伟达整机系统</t>
    </r>
    <phoneticPr fontId="4" type="noConversion"/>
  </si>
  <si>
    <r>
      <t>​</t>
    </r>
    <r>
      <rPr>
        <sz val="11"/>
        <color rgb="FF000000"/>
        <rFont val="微软雅黑"/>
        <family val="2"/>
        <charset val="134"/>
      </rPr>
      <t>特定云厂商</t>
    </r>
    <r>
      <rPr>
        <sz val="11"/>
        <color rgb="FF000000"/>
        <rFont val="Inherit"/>
        <family val="2"/>
      </rPr>
      <t>​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Inherit"/>
        <family val="2"/>
      </rPr>
      <t>• ​Oracle、CoreWeave​ - 深度依赖英伟达全栈方案</t>
    </r>
    <phoneticPr fontId="4" type="noConversion"/>
  </si>
  <si>
    <t>各厂商共封装光学（CPO）产品进展时间线</t>
  </si>
  <si>
    <t>年份</t>
  </si>
  <si>
    <t>NVIDIA（英伟达）</t>
  </si>
  <si>
    <t>Broadcom（博通）</t>
  </si>
  <si>
    <t>TSMC（台积电）</t>
  </si>
  <si>
    <t>Intel（英特尔）</t>
  </si>
  <si>
    <t>Marvell（迈威尔）</t>
  </si>
  <si>
    <t>（无）</t>
  </si>
  <si>
    <t>展示业界首个CPO以太网交换机（12.8Tb/s Barefoot Tofino2交换ASIC联合1.6Tb/s硅光引擎）tomshardware.com</t>
  </si>
  <si>
    <r>
      <t xml:space="preserve">宣布首款共封装光交换芯片：25.6Tb/s </t>
    </r>
    <r>
      <rPr>
        <u/>
        <sz val="11"/>
        <color theme="10"/>
        <rFont val="等线"/>
        <family val="3"/>
        <charset val="134"/>
        <scheme val="minor"/>
      </rPr>
      <t>Tomahawk4–Humboldt（集成6.4Tb/s光引擎，预计2022年底提供样片）lightcounting.com</t>
    </r>
  </si>
  <si>
    <t>（无公开发布）</t>
  </si>
  <si>
    <t>（无新的发布）</t>
  </si>
  <si>
    <t>**OFC2022：**演示25.6T以太网交换机与800Gb/s光引擎共封装原型security.com；**OCP2022：**展示25.6T CPO交换机系统（合作伙伴Ragile展台）security.comayarlabs.com</t>
  </si>
  <si>
    <t>完成CPO光引擎与先进封装集成试产，为1.6T模块打下基础（消息来源）</t>
  </si>
  <si>
    <t>**OFC2022：**展示首代CPO交换机平台（基于Teralynx交换芯片，32×400G光端口的1RU原型，作为51.2T代际3.2T光引擎方案基础）investor.marvell.com</t>
  </si>
  <si>
    <t>（无正式发布）</t>
  </si>
  <si>
    <r>
      <t xml:space="preserve">**OCP2023：**展示51.2Tb/s </t>
    </r>
    <r>
      <rPr>
        <i/>
        <sz val="11"/>
        <color theme="1"/>
        <rFont val="等线"/>
        <family val="3"/>
        <charset val="134"/>
        <scheme val="minor"/>
      </rPr>
      <t>Tomahawk5–Bailly</t>
    </r>
    <r>
      <rPr>
        <sz val="11"/>
        <color theme="1"/>
        <rFont val="等线"/>
        <family val="2"/>
        <charset val="134"/>
        <scheme val="minor"/>
      </rPr>
      <t>交换机的共封装光学版本（基于Broadcom第五代ASIC与光芯片，较传统方案节约30%以上功耗）servethehome.comglobenewswire.com（该100G/通道CPO方案开始量产部署）</t>
    </r>
  </si>
  <si>
    <t>（无公开发布，但据报道已成功试制微环调制光引擎，与Broadcom合作推进CPO）trendforce.com</t>
  </si>
  <si>
    <t>（筹备中，未有公开发布）</t>
  </si>
  <si>
    <t>（无新的发布；第二代51.2T CPO交换机持续出货，并开发200G/通道新方案）</t>
  </si>
  <si>
    <t>开始交付1.6Tb/s光引擎CPO样品（预计2025年初提供给Broadcom、NVIDIA等客户）trendforce.com；推进COUPE硅光引擎与CoWoS封装融合，用于AI加速芯片（研发阶段）</t>
  </si>
  <si>
    <t>**OFC2024：**展示光计算互连芯片let原型，实现CPU间4Tb/s双向光互联（采用8对光纤×8波长方案，功耗约5 pJ/bit）optica-opn.orgoptica-opn.org</t>
  </si>
  <si>
    <t>**OFC2024：**展示6.4Tb/s硅光引擎CPO平台（集成32通道200G光电接口，4pJ/bit能效），与联发科合作用于下一代AI/HPC ASIC平台marvell.comranovus.com</t>
  </si>
  <si>
    <r>
      <t>**GTC2025：**发布首款硅光共封装交换系统</t>
    </r>
    <r>
      <rPr>
        <i/>
        <sz val="11"/>
        <color theme="1"/>
        <rFont val="等线"/>
        <family val="3"/>
        <charset val="134"/>
        <scheme val="minor"/>
      </rPr>
      <t>Quantum-X</t>
    </r>
    <r>
      <rPr>
        <sz val="11"/>
        <color theme="1"/>
        <rFont val="等线"/>
        <family val="2"/>
        <charset val="134"/>
        <scheme val="minor"/>
      </rPr>
      <t xml:space="preserve">（1.6Tb/s端口速率CPO交换机，采用TSMC </t>
    </r>
    <r>
      <rPr>
        <i/>
        <sz val="11"/>
        <color theme="1"/>
        <rFont val="等线"/>
        <family val="3"/>
        <charset val="134"/>
        <scheme val="minor"/>
      </rPr>
      <t>COUPE</t>
    </r>
    <r>
      <rPr>
        <sz val="11"/>
        <color theme="1"/>
        <rFont val="等线"/>
        <family val="2"/>
        <charset val="134"/>
        <scheme val="minor"/>
      </rPr>
      <t>微环调制光引擎)optics.org；预计2025年下半年开始交付该光子交换机，随后推出Spectrum-X以太网CPO交换机（2026年下半年）optics.org</t>
    </r>
  </si>
  <si>
    <r>
      <t xml:space="preserve">**5月：**推出第三代CPO技术（200G/通道），展示第二代100G/通道 CPO产品成熟度和生态完善globenewswire.comglobenewswire.com；合作伙伴开始量产基于51.2T </t>
    </r>
    <r>
      <rPr>
        <i/>
        <sz val="11"/>
        <color theme="1"/>
        <rFont val="等线"/>
        <family val="3"/>
        <charset val="134"/>
        <scheme val="minor"/>
      </rPr>
      <t>Bailly</t>
    </r>
    <r>
      <rPr>
        <sz val="11"/>
        <color theme="1"/>
        <rFont val="等线"/>
        <family val="2"/>
        <charset val="134"/>
        <scheme val="minor"/>
      </rPr>
      <t xml:space="preserve"> CPO交换机的整机系统（如Delta发布3RU液冷整机、Micas出货CPO白盒交换机等）globenewswire.comglobenewswire.com</t>
    </r>
  </si>
  <si>
    <t>开始向首批客户（Broadcom、NVIDIA）交付共封装光学样品，开启1.6T光互联时代；预计2025年下半年1.6T产品量产，2026年扩大出货trendforce.comtrendforce.com</t>
  </si>
  <si>
    <t>（持续推进光I/O芯片let试用，暂无新产品发布）</t>
  </si>
  <si>
    <t>**1月：**宣布面向定制AI加速器的CPO架构（集成6.4Tb/s 3D硅光引擎，可用于客户下一代XPU芯片，实现跨机架光互连）marvell.com</t>
  </si>
  <si>
    <t>**注：*</t>
  </si>
  <si>
    <t>高速光模块</t>
    <phoneticPr fontId="4" type="noConversion"/>
  </si>
  <si>
    <t>DSP芯片</t>
    <phoneticPr fontId="4" type="noConversion"/>
  </si>
  <si>
    <t>封测</t>
    <phoneticPr fontId="4" type="noConversion"/>
  </si>
  <si>
    <t>环节</t>
  </si>
  <si>
    <t>博通（Broadcom）</t>
  </si>
  <si>
    <t>英伟达（NVIDIA）</t>
  </si>
  <si>
    <t>思科（Cisco）</t>
  </si>
  <si>
    <t>英特尔（Intel）</t>
  </si>
  <si>
    <t>Marvell（美满科技）</t>
  </si>
  <si>
    <r>
      <t>设计</t>
    </r>
    <r>
      <rPr>
        <sz val="11"/>
        <color theme="1"/>
        <rFont val="等线"/>
        <family val="2"/>
        <charset val="134"/>
        <scheme val="minor"/>
      </rPr>
      <t xml:space="preserve"> (Design)</t>
    </r>
  </si>
  <si>
    <t>自研交换ASIC及硅光子引擎；推出业界首款51.2Tbps CPO交换机“Bailly”，在Tomahawk 5（51.2T）交换芯片上共封装8个6.4Tbps硅光引擎，实现前所未有的高带宽和低时延vertex-icbuy.com。该创新体现博通在硅基光电子和CPO架构上的领先地位vertex-icbuy.com。</t>
  </si>
  <si>
    <t>与合作伙伴共同研发GPU/交换CPO架构。早在2020年GTC展示了通过CPO直接互连GPU和交换芯片的方案fibermall.com；近年携手台积电、Ayar Labs等推进硅光共封装技术fibermall.com。2024年底NVIDIA参与Ayar Labs的1.55亿美元融资，加强光I/O布局nextplatform.com；2025年GTC宣布两款内置CPO技术的网络交换机，标志其CPO设计进入产品化阶段ayarlabs.com。</t>
  </si>
  <si>
    <t>收购Luxtera获取硅光能力，自研光引擎并结合交换ASIC推出CPO原型。OFC 2023上演示了25.6Tbps的CPO交换路由器：采用7nm Silicon One G100 ASIC（25.6T）结合8块3.2Tbps硅光学Tile共封装，驱动64×400G FR4光通道blogs.cisco.comfibermall.com。光引擎采用Cisco硅光子技术（如SISCAP调制器）并在芯片上集成CWDM Mux/Demux，实现紧凑高密度的光I/Oblogs.cisco.com。</t>
  </si>
  <si>
    <t>深耕硅光子技术多年，自主研发基于微环调制器的CPO方案，聚焦光计算互连(OCI)。2020年即推出首个CPO原型，在12.8T以太交换芯片上集成1.6T硅光引擎并解决了封装散热等设计难题fibermall.com。依托自有硅光工艺平台研发CPO系统fibermall.com，2024年OFC展示最新成果：每个硅光PIC含64个通道，单通道32Gbps，总带宽2Tbps（双向4Tbps），误码率 &lt; 1e-12fibermall.com。</t>
  </si>
  <si>
    <t>借助收购Inphi大幅增强光通讯研发实力，自研光引擎与交换/加速芯片结合布局CPO。OFC 2024推出6.4Tbps 3D硅光引擎（32×200G通道），将调制器、探测器、驱动器、TIA等数百组件集成在单芯片内，实现比100G技术2倍带宽密度、每比特功耗降低30%picmagazine.netfibermall.com。Marvell发布可定制CPO架构，将XPU计算芯片、HBM内存与3D硅光引擎在同一基板上协同封装picmagazine.net以提升AI系统带宽和规模。</t>
  </si>
  <si>
    <r>
      <t>代工</t>
    </r>
    <r>
      <rPr>
        <sz val="11"/>
        <color theme="1"/>
        <rFont val="等线"/>
        <family val="2"/>
        <charset val="134"/>
        <scheme val="minor"/>
      </rPr>
      <t xml:space="preserve"> (Foundry)</t>
    </r>
  </si>
  <si>
    <r>
      <t>无晶圆厂</t>
    </r>
    <r>
      <rPr>
        <sz val="11"/>
        <color theme="1"/>
        <rFont val="等线"/>
        <family val="2"/>
        <charset val="134"/>
        <scheme val="minor"/>
      </rPr>
      <t>，依赖成熟代工工艺生产CPO芯片。博通采用第三方晶圆厂制造其ASIC与光引擎：交换芯片由台积电等先进工艺代工，硅光引擎基于标准CMOS硅光工艺量产picmagazine.net。创新的制造流程利用成熟CMOS产线和先进封装，实现高密度光引擎的大规模生产picmagazine.net。</t>
    </r>
  </si>
  <si>
    <r>
      <t>无晶圆厂</t>
    </r>
    <r>
      <rPr>
        <sz val="11"/>
        <color theme="1"/>
        <rFont val="等线"/>
        <family val="2"/>
        <charset val="134"/>
        <scheme val="minor"/>
      </rPr>
      <t>，依托代工伙伴实施CPO制造。NVIDIA与台积电合作7nm/5nm工艺制造其高速ASIC，并利用台积电硅光平台推进光引擎量产。台积电自2017年起布局硅光工艺（65nm）并推出COUPE共封装平台，计划2025年实现6.4Tbps光引擎、后续提升至12.8Tbpsfibermall.comfibermall.com——NVIDIA预计凭借这一生态实现CPO芯片制造。另一方面，NVIDIA也通过参与Ayar Labs融资等方式布局光I/O供应链，确保先进光芯片代工能力。</t>
    </r>
  </si>
  <si>
    <r>
      <t>无晶圆厂</t>
    </r>
    <r>
      <rPr>
        <sz val="11"/>
        <color theme="1"/>
        <rFont val="等线"/>
        <family val="2"/>
        <charset val="134"/>
        <scheme val="minor"/>
      </rPr>
      <t>模式，采用代工生产ASIC和硅光芯片。Cisco Silicon One G100交换ASIC由台积电7nm工艺代工ithome.com.tw；硅光引擎基于台积电65nm硅光平台（源自Luxtera合作）制造fibermall.com。Cisco具备成熟硅光代工经验，其硅光模块平台经过多年优化，已量产数百万只硅光模块，验证了工艺的可靠性blogs.cisco.com。</t>
    </r>
  </si>
  <si>
    <r>
      <t>垂直一体化</t>
    </r>
    <r>
      <rPr>
        <u/>
        <sz val="11"/>
        <color theme="10"/>
        <rFont val="等线"/>
        <family val="3"/>
        <charset val="134"/>
        <scheme val="minor"/>
      </rPr>
      <t>，自有晶圆厂制造ASIC和光芯片。Intel利用自家的硅光工艺平台生产CPO组件，包括CMOS兼容的微环调制器等硅光器件fibermall.com。依托Intel Fab实现ASIC与光子IC协同制造，保障工艺控制和紧密集成。同时Intel Capital投资像Ayar Labs等光互连厂商，拓展外部代工合作，以补充自身硅光产能布局。</t>
    </r>
  </si>
  <si>
    <r>
      <t>无晶圆厂</t>
    </r>
    <r>
      <rPr>
        <u/>
        <sz val="11"/>
        <color theme="10"/>
        <rFont val="等线"/>
        <family val="3"/>
        <charset val="134"/>
        <scheme val="minor"/>
      </rPr>
      <t>，采用领先代工工艺+合作制造。Marvell的51.2T以太交换ASIC（Teralynx 10）由台积电5nm工艺流片制造marvell.com；其硅光引擎基于CMOS硅光工艺，由代工厂（可能包括GF/AIM等硅光平台）生产以确保200Gbps/波长高速器件性能。Marvell通过与代工和供应链伙伴紧密合作，加速6.4T光引擎的工艺验证，为后续量产打下基础。</t>
    </r>
  </si>
  <si>
    <r>
      <t>集成封装</t>
    </r>
    <r>
      <rPr>
        <sz val="11"/>
        <color theme="1"/>
        <rFont val="等线"/>
        <family val="2"/>
        <charset val="134"/>
        <scheme val="minor"/>
      </rPr>
      <t xml:space="preserve"> (Packaging &amp; Integration)</t>
    </r>
  </si>
  <si>
    <t>采用尖端封装技术实现光电共封装。博通最初使用TSV硅通孔方案，后改用扇出型晶圆级封装（FOWLP）来集成光引擎与交换ASIC，提升良率并降低成本fibermall.com。光引擎与ASIC共置于有机基板上，封装边缘设计有高密度光纤接口，实现光信号直接从封装引出picmagazine.net。该高密度封装+接口方案已验证可支撑Bailly平台的量产。</t>
  </si>
  <si>
    <t>与代工/封测伙伴协同开发CPO封装方案。NVIDIA计划利用台积电SoIC/CoWoS等3D封装技术，将硅光芯片与GPU或交换ASIC在封装中集成。台积电已公布COUPE 2.0路线，2026年将在CoWoS基板上实现交换芯片与6.4T光引擎共封装fibermall.com。NVIDIA有望借助此类先进封装，使光引擎贴近计算芯片，实现高速低损互连，并为其AI系统提供更高带宽密度。</t>
  </si>
  <si>
    <t>使用专门设计的CPO基板实现光电集成。Cisco在OFC演示中采用了含CPO基板的封装方案：Silicon One G100 ASIC与8块硅光Tile共同安装在同一封装上blogs.cisco.com。为降低热影响，Cisco创新性地将激光光源从封装中分离，置于机箱前端（ELSFP可插拔激光模块），通过光纤将光送入封装内的光引擎blogs.cisco.comblogs.cisco.com。这种架构避免高热激光器与ASIC共封装，简化了封装散热设计，并保持系统可靠性。</t>
  </si>
  <si>
    <t>内部采用先进封装将光芯片与ASIC集成。Intel早期CPO原型已将1.6T硅光引擎与12.8T交换ASIC在同一封装中集成，并特别考虑了散热和光路设计fibermall.com。为提升封装良率，Intel开发出可插拔的光学连接器，在封装前即可将光引擎与光纤连接进行测试筛选fibermall.com。这种设计有效避免了不良光芯片进入最终封装，提高了大规模封装集成的成功率，为后续量产铺平道路。</t>
  </si>
  <si>
    <t>采用2.5D/3D异构封装整合多芯片。Marvell通过先进封装（如有机基板高速互连和晶片堆叠）将计算XPU芯片、HBM内存与硅光引擎共同封装在一体基板上picmagazine.net。高速SerDes和D2D接口连接各芯片，光引擎与ASIC紧邻布置，消除封装外部高速电连接picmagazine.net。这种高集成度封装显著降低信号损耗和延迟，提高带宽密度和能效，适用于构建大规模AI加速器节点和新一代交换机。</t>
  </si>
  <si>
    <r>
      <t>光学组件耦合</t>
    </r>
    <r>
      <rPr>
        <sz val="11"/>
        <color theme="1"/>
        <rFont val="等线"/>
        <family val="2"/>
        <charset val="134"/>
        <scheme val="minor"/>
      </rPr>
      <t xml:space="preserve"> (Optical Coupling)</t>
    </r>
  </si>
  <si>
    <r>
      <t>采用高密度</t>
    </r>
    <r>
      <rPr>
        <b/>
        <sz val="11"/>
        <color theme="1"/>
        <rFont val="等线"/>
        <family val="3"/>
        <charset val="134"/>
        <scheme val="minor"/>
      </rPr>
      <t>边缘耦合</t>
    </r>
    <r>
      <rPr>
        <sz val="11"/>
        <color theme="1"/>
        <rFont val="等线"/>
        <family val="2"/>
        <charset val="134"/>
        <scheme val="minor"/>
      </rPr>
      <t>光纤连接方案。每个Bailly 6.4T光引擎包含64路光通道（CWDM波长），通过封装边缘的光纤插口实现与外部光纤阵列对接fibermall.com。博通开发了高度自动化的光纤耦合工艺，在封装边缘同时精准连接上百根光纤（对应数百光通道），相比可插拔模块降低光互联功耗70%picmagazine.net。这种edge-coupling光纤阵列技术支持CPO系统的大规模装配picmagazine.net。</t>
    </r>
  </si>
  <si>
    <t>借助硅光芯片与光纤阵列实现高速互连。NVIDIA与Ayar Labs合作的光I/O芯片采用外置激光+硅光收发方案：激光光源（SuperNova）放置在芯片外，通过光纤耦合将多波长光送入封装内的TeraPHY硅光引擎，再进行高速调制fibermall.com。这种架构使GPU/XPUs间连接距离比铜缆提升两个数量级，可实现跨机架的大规模光互联picmagazine.net。NVIDIA通过与Ayar等合作，掌握了芯片内光纤耦合和多芯片光链路技术，为其AI集群提供低延迟、高带宽的互联手段。</t>
  </si>
  <si>
    <r>
      <t>引入</t>
    </r>
    <r>
      <rPr>
        <b/>
        <sz val="11"/>
        <color theme="1"/>
        <rFont val="等线"/>
        <family val="3"/>
        <charset val="134"/>
        <scheme val="minor"/>
      </rPr>
      <t>远端激光+光纤耦合</t>
    </r>
    <r>
      <rPr>
        <sz val="11"/>
        <color theme="1"/>
        <rFont val="等线"/>
        <family val="2"/>
        <charset val="134"/>
        <scheme val="minor"/>
      </rPr>
      <t>架构。Cisco CPO系统将激光器从光引擎中独立出来，通过OIF ELSFP标准激光模块从前面板将光耦合进封装blogs.cisco.com，为光引擎提供冷光源。光引擎内的8×400G FR4硅光芯片各自输出4波长复用的100G信号，经硅光芯片上集成的MUX将波长合一路，通过光纤连接到前面板端口blogs.cisco.com。这种设计实现了光引擎与前端光纤的模块化耦合：激光模块可独立更换，光信号通过标准连接器进出封装，既保障了可靠性又方便维护。</t>
    </r>
  </si>
  <si>
    <r>
      <t>创新</t>
    </r>
    <r>
      <rPr>
        <b/>
        <sz val="11"/>
        <color theme="1"/>
        <rFont val="等线"/>
        <family val="3"/>
        <charset val="134"/>
        <scheme val="minor"/>
      </rPr>
      <t>可插拔光学连接</t>
    </r>
    <r>
      <rPr>
        <sz val="11"/>
        <color theme="1"/>
        <rFont val="等线"/>
        <family val="2"/>
        <charset val="134"/>
        <scheme val="minor"/>
      </rPr>
      <t>方案。Intel研发出独特的光学可插拔接口，使光纤与光子芯片的耦合可模块化进行fibermall.com。在封装阶段，光引擎通过该连接器与光纤对接并预先测试，筛除不良器件后再进行最终封装fibermall.com。这种可插拔耦合不仅提高了生产良率，也使得CPO系统中光组件的更换维护更接近传统光模块模式，有利于大规模部署。另方面Intel在OCI项目中使用硅光波导耦合等技术，将64路光信号耦合至其处理器/FPGA封装，为CPU-GPU间提供高速光互连fibermall.com。</t>
    </r>
  </si>
  <si>
    <t>采用高速光纤直接连接封装，实现长距离光链路。Marvell的CPO引擎通过封装边缘的光纤接口，将32路200G光信号耦合到光纤束，直接连通多个机架内的XPU/交换芯片picmagazine.net。这种光纤互联方案使XPU间通讯距离比传统电缆扩大近百倍picmagazine.net，满足AI集群跨机架扩展需求。预计Marvell亦采用自动化的光纤阵列耦合技术，将光纤精准对准其3D硅光引擎的输出端口。凭借Inphi的光器件经验，Marvell正完善光纤耦合工艺以实现其CPO模块的可量产组装。</t>
  </si>
  <si>
    <r>
      <t>成品拼装</t>
    </r>
    <r>
      <rPr>
        <sz val="11"/>
        <color theme="1"/>
        <rFont val="等线"/>
        <family val="2"/>
        <charset val="134"/>
        <scheme val="minor"/>
      </rPr>
      <t xml:space="preserve"> (Final Assembly)</t>
    </r>
  </si>
  <si>
    <r>
      <t>生态合作</t>
    </r>
    <r>
      <rPr>
        <sz val="11"/>
        <color theme="1"/>
        <rFont val="等线"/>
        <family val="2"/>
        <charset val="134"/>
        <scheme val="minor"/>
      </rPr>
      <t>推进整机落地。博通已将51.2T Bailly CPO交换芯片出货给客户picmagazine.net，并与超大规模数据中心和设备商联合设计整机解决方案picmagazine.net。例如腾讯已与博通合作，在其数据中心部署基于Bailly的CPO交换机试点fibermall.com；设备厂商如新华三（H3C）也参与了博通CPO系统的联合开发picmagazine.net。博通通过提供参考设计并与ODM/OEM合作，由后者完成光纤连接和整机装配，实现CPO技术的商用落地。</t>
    </r>
  </si>
  <si>
    <r>
      <t>自有产品融合</t>
    </r>
    <r>
      <rPr>
        <u/>
        <sz val="11"/>
        <color theme="10"/>
        <rFont val="等线"/>
        <family val="3"/>
        <charset val="134"/>
        <scheme val="minor"/>
      </rPr>
      <t>CPO技术。NVIDIA计划将CPO融合进其网络产品体系，由其主导整机开发并委托代工生产。2025年NVIDIA宣布将推出两款内置CPO的交换机，用于AI网络以显著降低功耗、提升带宽ayarlabs.com。该等交换机预计在NVIDIA收购的Mellanox网络设备基础上改进，由代工伙伴完成生产组装。NVIDIA通过战略投资供应链（如Ayar Labs）确保关键光组件供给，并与系统厂商合作将CPO互连引入其DGX超级计算集群和InfiniBand/以太网交换产品中。</t>
    </r>
  </si>
  <si>
    <r>
      <t>整机自主集成</t>
    </r>
    <r>
      <rPr>
        <u/>
        <sz val="11"/>
        <color theme="10"/>
        <rFont val="等线"/>
        <family val="3"/>
        <charset val="134"/>
        <scheme val="minor"/>
      </rPr>
      <t>能力突出。Cisco作为网络设备厂商，可自行完成从芯片到系统的集成与装配。OFC 2023的CPO路由器演示验证了整机级功耗降低约25–30%blogs.cisco.com的优势，为产品化奠定基础。未来Cisco有望在新一代Silicon One（如51.2T G200）平台上应用CPO技术，内部集成硅光模块，打造高密度低功耗交换机/路由器产品。Cisco已构建端到端供应链（包括收购Acacia提供相干光技术），可以根据市场需求灵活选择CPO或可插拔方案，并通过其全球代工和制造体系完成最终设备组装测试。</t>
    </r>
  </si>
  <si>
    <r>
      <t>技术输出与合作</t>
    </r>
    <r>
      <rPr>
        <sz val="11"/>
        <color theme="1"/>
        <rFont val="等线"/>
        <family val="2"/>
        <charset val="134"/>
        <scheme val="minor"/>
      </rPr>
      <t>并重。Intel定位为CPO技术供应商，将成果赋能产业伙伴。未来可能在自家CPU/GPU/FPGA产品中集成光I/O接口，提升大型集群内部互连效率fibermall.com。同时Intel积极与业界合作验证：如2023年与Ayar Labs在Agilex FPGA中嵌入两枚4Tbps光子芯片进行系统演示fibermall.com。Intel通过这类联合实验积累了系统拼装经验（包括与服务器厂商共同调试光连接），以利于CPO大规模应用时能快速与OEM协作完成整机集成和优化。</t>
    </r>
  </si>
  <si>
    <r>
      <t>定制合作</t>
    </r>
    <r>
      <rPr>
        <u/>
        <sz val="11"/>
        <color theme="10"/>
        <rFont val="等线"/>
        <family val="3"/>
        <charset val="134"/>
        <scheme val="minor"/>
      </rPr>
      <t>模式。Marvell面向超大规模云客户提供CPO芯片解决方案，并与之联合开发系统。其下一代可定制XPU架构已支持无缝集成CPO光引擎，帮助云厂商将单机柜内XPU数量从几十扩展到上百picmagazine.net。Marvell已推出51.2T以太网交换芯片并提供6.4T光引擎模块给重点客户，由客户主导将两者集成到自研系统中（如定制AI服务器或交换设备）。在这一过程中Marvell提供工程支持，并与代工厂、ODM密切配合完成光模块封装和整机拼装调试，以满足客户的性能和可靠性要求。</t>
    </r>
  </si>
  <si>
    <r>
      <t>注</t>
    </r>
    <r>
      <rPr>
        <sz val="11"/>
        <color theme="1"/>
        <rFont val="等线"/>
        <family val="2"/>
        <charset val="134"/>
        <scheme val="minor"/>
      </rPr>
      <t>：以上对比基</t>
    </r>
  </si>
  <si>
    <t>各厂商产业链</t>
    <phoneticPr fontId="4" type="noConversion"/>
  </si>
  <si>
    <t>公司（产业链环节）</t>
  </si>
  <si>
    <t>设计</t>
  </si>
  <si>
    <t>代工</t>
  </si>
  <si>
    <t>集成封装</t>
  </si>
  <si>
    <t>光学组件耦合</t>
  </si>
  <si>
    <t>成品拼装</t>
  </si>
  <si>
    <t>高</t>
  </si>
  <si>
    <t>中</t>
  </si>
  <si>
    <t>低</t>
  </si>
  <si>
    <t>美满科技（Marvell）</t>
  </si>
  <si>
    <t>产业链优势程度</t>
    <phoneticPr fontId="4" type="noConversion"/>
  </si>
  <si>
    <t>公司</t>
  </si>
  <si>
    <r>
      <t>​</t>
    </r>
    <r>
      <rPr>
        <sz val="11"/>
        <color rgb="FF000000"/>
        <rFont val="Segoe UI"/>
        <family val="2"/>
      </rPr>
      <t>成品拼装 (商业化)​</t>
    </r>
    <r>
      <rPr>
        <b/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</si>
  <si>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博通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</si>
  <si>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高</t>
    </r>
    <r>
      <rPr>
        <sz val="11"/>
        <color rgb="FF000000"/>
        <rFont val="Inherit"/>
        <family val="2"/>
      </rPr>
      <t>​ (唯一量产)</t>
    </r>
  </si>
  <si>
    <r>
      <t>​</t>
    </r>
    <r>
      <rPr>
        <sz val="11"/>
        <color rgb="FF000000"/>
        <rFont val="Segoe UI"/>
        <family val="2"/>
      </rPr>
      <t>英伟达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</si>
  <si>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思科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</si>
  <si>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英特尔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</si>
  <si>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高 (IDM)​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</si>
  <si>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美满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</si>
  <si>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低</t>
    </r>
    <r>
      <rPr>
        <sz val="11"/>
        <color rgb="FF000000"/>
        <rFont val="Inherit"/>
        <family val="2"/>
      </rPr>
      <t>​ (技术储备)</t>
    </r>
  </si>
  <si>
    <t>ASIC</t>
    <phoneticPr fontId="4" type="noConversion"/>
  </si>
  <si>
    <t>GPU</t>
    <phoneticPr fontId="4" type="noConversion"/>
  </si>
  <si>
    <t>https://mp.weixin.qq.com/s/-On2yaBPXEZUNFoOPh2ANA</t>
  </si>
  <si>
    <t>ASIC进度</t>
    <phoneticPr fontId="4" type="noConversion"/>
  </si>
  <si>
    <t>博通ASIC</t>
    <phoneticPr fontId="4" type="noConversion"/>
  </si>
  <si>
    <t>出货量预计</t>
    <phoneticPr fontId="4" type="noConversion"/>
  </si>
  <si>
    <t>amazon</t>
    <phoneticPr fontId="4" type="noConversion"/>
  </si>
  <si>
    <t>msft</t>
    <phoneticPr fontId="4" type="noConversion"/>
  </si>
  <si>
    <t>intel</t>
    <phoneticPr fontId="4" type="noConversion"/>
  </si>
  <si>
    <t>google</t>
    <phoneticPr fontId="4" type="noConversion"/>
  </si>
  <si>
    <t>meta</t>
    <phoneticPr fontId="4" type="noConversion"/>
  </si>
  <si>
    <t>bytedance</t>
    <phoneticPr fontId="4" type="noConversion"/>
  </si>
  <si>
    <t>下限</t>
    <phoneticPr fontId="4" type="noConversion"/>
  </si>
  <si>
    <t>上限</t>
    <phoneticPr fontId="4" type="noConversion"/>
  </si>
  <si>
    <t>ASIC性能参数</t>
    <phoneticPr fontId="4" type="noConversion"/>
  </si>
  <si>
    <t>芯片名称</t>
  </si>
  <si>
    <t>制程</t>
  </si>
  <si>
    <t>FP16 (TFLOPS)</t>
  </si>
  <si>
    <t>功耗 (W)</t>
  </si>
  <si>
    <t>能效比 (FP16)</t>
  </si>
  <si>
    <t>HBM</t>
  </si>
  <si>
    <t>显存容量 (GB)</t>
  </si>
  <si>
    <t>Scale-Up互联技术</t>
  </si>
  <si>
    <t>双向互联带宽 (GB/s)</t>
  </si>
  <si>
    <t>GB200</t>
  </si>
  <si>
    <t>4NP</t>
  </si>
  <si>
    <t>HBM3e</t>
  </si>
  <si>
    <t>NVLINK 5</t>
  </si>
  <si>
    <t>H200-SXM</t>
  </si>
  <si>
    <t>4nm</t>
  </si>
  <si>
    <t>NVLINK 4</t>
  </si>
  <si>
    <t>H100-SXM</t>
  </si>
  <si>
    <t>HBM3</t>
  </si>
  <si>
    <t>A800-SXM</t>
  </si>
  <si>
    <t>7nm</t>
  </si>
  <si>
    <t>HBM2e</t>
  </si>
  <si>
    <t>NVLINK</t>
  </si>
  <si>
    <r>
      <t>​</t>
    </r>
    <r>
      <rPr>
        <sz val="11"/>
        <color rgb="FF000000"/>
        <rFont val="Segoe UI"/>
        <family val="2"/>
      </rPr>
      <t>谷歌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</si>
  <si>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TPU v7p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</si>
  <si>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3nm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</si>
  <si>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2307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</si>
  <si>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959</t>
    </r>
    <r>
      <rPr>
        <sz val="11"/>
        <color rgb="FF000000"/>
        <rFont val="Inherit"/>
        <family val="2"/>
      </rPr>
      <t>​</t>
    </r>
  </si>
  <si>
    <r>
      <t>​</t>
    </r>
    <r>
      <rPr>
        <sz val="11"/>
        <color rgb="FF000000"/>
        <rFont val="Segoe UI"/>
        <family val="2"/>
      </rPr>
      <t>2.4</t>
    </r>
    <r>
      <rPr>
        <sz val="11"/>
        <color rgb="FF000000"/>
        <rFont val="Inherit"/>
        <family val="2"/>
      </rPr>
      <t>​</t>
    </r>
  </si>
  <si>
    <t>ICI Links</t>
  </si>
  <si>
    <t>TPU v6e</t>
  </si>
  <si>
    <t>TPU v5p</t>
  </si>
  <si>
    <t>5nm</t>
  </si>
  <si>
    <r>
      <t>​</t>
    </r>
    <r>
      <rPr>
        <sz val="11"/>
        <color rgb="FF000000"/>
        <rFont val="Segoe UI"/>
        <family val="2"/>
      </rPr>
      <t>亚马逊</t>
    </r>
    <r>
      <rPr>
        <sz val="11"/>
        <color rgb="FF000000"/>
        <rFont val="Inherit"/>
        <family val="2"/>
      </rPr>
      <t>​</t>
    </r>
  </si>
  <si>
    <t>Trainum3</t>
  </si>
  <si>
    <t>3nm</t>
  </si>
  <si>
    <t>Tranium2</t>
  </si>
  <si>
    <t>NeuronLinkv3</t>
  </si>
  <si>
    <r>
      <t>​</t>
    </r>
    <r>
      <rPr>
        <sz val="11"/>
        <color rgb="FF000000"/>
        <rFont val="Segoe UI"/>
        <family val="2"/>
      </rPr>
      <t>Meta</t>
    </r>
    <r>
      <rPr>
        <sz val="11"/>
        <color rgb="FF000000"/>
        <rFont val="Inherit"/>
        <family val="2"/>
      </rPr>
      <t>​</t>
    </r>
  </si>
  <si>
    <t>MTIA V2</t>
  </si>
  <si>
    <t>PCle 5</t>
  </si>
  <si>
    <t>MTIA V1</t>
  </si>
  <si>
    <t>LPDDR5</t>
  </si>
  <si>
    <t>PCle 4</t>
  </si>
  <si>
    <r>
      <t>​</t>
    </r>
    <r>
      <rPr>
        <sz val="11"/>
        <color rgb="FF000000"/>
        <rFont val="Segoe UI"/>
        <family val="2"/>
      </rPr>
      <t>微软</t>
    </r>
    <r>
      <rPr>
        <sz val="11"/>
        <color rgb="FF000000"/>
        <rFont val="Inherit"/>
        <family val="2"/>
      </rPr>
      <t>​</t>
    </r>
  </si>
  <si>
    <t>Maia 100</t>
  </si>
  <si>
    <t>AMD</t>
  </si>
  <si>
    <t>MI325x</t>
  </si>
  <si>
    <t>MI355X</t>
  </si>
  <si>
    <r>
      <rPr>
        <b/>
        <sz val="11"/>
        <color rgb="FF000000"/>
        <rFont val="微软雅黑"/>
        <family val="2"/>
        <charset val="134"/>
      </rPr>
      <t>双向互联带宽</t>
    </r>
    <r>
      <rPr>
        <b/>
        <sz val="11"/>
        <color rgb="FF000000"/>
        <rFont val="Arial"/>
        <family val="2"/>
      </rPr>
      <t xml:space="preserve"> (GB/s)</t>
    </r>
    <phoneticPr fontId="4" type="noConversion"/>
  </si>
  <si>
    <t>MI350X</t>
    <phoneticPr fontId="4" type="noConversion"/>
  </si>
  <si>
    <t>Maia 200</t>
    <phoneticPr fontId="4" type="noConversion"/>
  </si>
  <si>
    <t>Maia 300</t>
    <phoneticPr fontId="4" type="noConversion"/>
  </si>
  <si>
    <t>Intel</t>
    <phoneticPr fontId="4" type="noConversion"/>
  </si>
  <si>
    <t>Gaudi3</t>
    <phoneticPr fontId="4" type="noConversion"/>
  </si>
  <si>
    <t>Gaudi2</t>
    <phoneticPr fontId="4" type="noConversion"/>
  </si>
  <si>
    <t>BF16/FP16 (TFLOPS)</t>
    <phoneticPr fontId="4" type="noConversion"/>
  </si>
  <si>
    <r>
      <rPr>
        <b/>
        <sz val="11"/>
        <color rgb="FF000000"/>
        <rFont val="微软雅黑"/>
        <family val="2"/>
        <charset val="134"/>
      </rPr>
      <t>能效比</t>
    </r>
    <r>
      <rPr>
        <b/>
        <sz val="11"/>
        <color rgb="FF000000"/>
        <rFont val="Inherit"/>
        <family val="2"/>
        <charset val="134"/>
      </rPr>
      <t>（TOPS/W）</t>
    </r>
    <phoneticPr fontId="4" type="noConversion"/>
  </si>
  <si>
    <r>
      <t>​</t>
    </r>
    <r>
      <rPr>
        <sz val="11"/>
        <color rgb="FF000000"/>
        <rFont val="微软雅黑"/>
        <family val="2"/>
        <charset val="134"/>
      </rPr>
      <t>量产</t>
    </r>
    <r>
      <rPr>
        <sz val="11"/>
        <color rgb="FF000000"/>
        <rFont val="Segoe UI"/>
        <family val="2"/>
      </rPr>
      <t>/</t>
    </r>
    <r>
      <rPr>
        <sz val="11"/>
        <color rgb="FF000000"/>
        <rFont val="微软雅黑"/>
        <family val="2"/>
        <charset val="134"/>
      </rPr>
      <t>预计量产年份月</t>
    </r>
    <phoneticPr fontId="4" type="noConversion"/>
  </si>
  <si>
    <t>量产年份</t>
    <phoneticPr fontId="4" type="noConversion"/>
  </si>
  <si>
    <r>
      <rPr>
        <b/>
        <sz val="11"/>
        <color rgb="FF000000"/>
        <rFont val="等线"/>
        <family val="2"/>
        <charset val="134"/>
      </rPr>
      <t>分组</t>
    </r>
    <phoneticPr fontId="4" type="noConversion"/>
  </si>
  <si>
    <t>ASIC/Xpu</t>
    <phoneticPr fontId="4" type="noConversion"/>
  </si>
  <si>
    <t>通用计算卡</t>
    <phoneticPr fontId="4" type="noConversion"/>
  </si>
  <si>
    <t>华为</t>
    <phoneticPr fontId="4" type="noConversion"/>
  </si>
  <si>
    <r>
      <rPr>
        <b/>
        <sz val="11"/>
        <color theme="1"/>
        <rFont val="等线"/>
        <family val="2"/>
        <charset val="134"/>
      </rPr>
      <t>华为</t>
    </r>
    <phoneticPr fontId="4" type="noConversion"/>
  </si>
  <si>
    <r>
      <rPr>
        <sz val="11"/>
        <color theme="1"/>
        <rFont val="等线"/>
        <family val="2"/>
        <charset val="134"/>
      </rPr>
      <t>昇腾</t>
    </r>
    <r>
      <rPr>
        <sz val="11"/>
        <color theme="1"/>
        <rFont val="Segoe UI"/>
        <family val="2"/>
      </rPr>
      <t>910C</t>
    </r>
    <phoneticPr fontId="4" type="noConversion"/>
  </si>
  <si>
    <r>
      <rPr>
        <sz val="11"/>
        <color theme="1"/>
        <rFont val="等线"/>
        <family val="2"/>
        <charset val="134"/>
      </rPr>
      <t>昇腾</t>
    </r>
    <r>
      <rPr>
        <sz val="11"/>
        <color theme="1"/>
        <rFont val="Segoe UI"/>
        <family val="2"/>
      </rPr>
      <t>910B</t>
    </r>
    <phoneticPr fontId="4" type="noConversion"/>
  </si>
  <si>
    <r>
      <rPr>
        <b/>
        <sz val="11"/>
        <color rgb="FF000000"/>
        <rFont val="等线"/>
        <family val="2"/>
        <charset val="134"/>
      </rPr>
      <t>相比英伟达同级别卡</t>
    </r>
    <phoneticPr fontId="4" type="noConversion"/>
  </si>
  <si>
    <t>厂商</t>
    <phoneticPr fontId="4" type="noConversion"/>
  </si>
  <si>
    <t>出货量</t>
    <phoneticPr fontId="4" type="noConversion"/>
  </si>
  <si>
    <t>Amazon</t>
    <phoneticPr fontId="4" type="noConversion"/>
  </si>
  <si>
    <t>Google</t>
    <phoneticPr fontId="4" type="noConversion"/>
  </si>
  <si>
    <t>Meta</t>
    <phoneticPr fontId="4" type="noConversion"/>
  </si>
  <si>
    <t>非NV</t>
    <phoneticPr fontId="4" type="noConversion"/>
  </si>
  <si>
    <t>NV</t>
    <phoneticPr fontId="4" type="noConversion"/>
  </si>
  <si>
    <t>速率范围</t>
    <phoneticPr fontId="4" type="noConversion"/>
  </si>
  <si>
    <t>市场规模</t>
    <phoneticPr fontId="4" type="noConversion"/>
  </si>
  <si>
    <t>https://mp.weixin.qq.com/s/vewx6JqndkR6aULMZ9c1Jw</t>
  </si>
  <si>
    <t>平均每张卡多少个光模块</t>
    <phoneticPr fontId="4" type="noConversion"/>
  </si>
  <si>
    <t>华为cm384</t>
    <phoneticPr fontId="4" type="noConversion"/>
  </si>
  <si>
    <t>华为Cloud Matrix 384中需要多少光模块？_腾讯新闻</t>
  </si>
  <si>
    <t>每台服务器内的每个 UB Switch 芯片，对外对应的带宽为 16×28GBps，总计 448GBps，换算成 Gb 则为 8×448Gbps。这意味着，每台服务器中的每个 UB Switch 芯片对应 8 个 400G 连接（光模块）；
而整台服务器共需使用 56 （7个UB Switch，每个UB Switch是8个400G连接）个 400G 光模块，或 28 个 800G 双通道光模块。由于无阻塞网络的第二层交换机侧也需要同等数量的模块，因此在 UB 网络系统中，每台服务器的 8 个 NPU 对应着 112 个 400G 光模块，或 56 个 800G 双通道光模块。
也就是说，对于Scale Up来讲，NPU 与 400G 光模块的用量比例为 1:14，与 800G（2x400G） 光模块的用量比例为 1:7。
再看Scale Out，12 个 Compute 机柜为一个 Cloud Matrix 节点，在此基础上复制扩容；假设 8 个节点，共 8 x 384 = 3072 GPU，按照胖树架构扩容，两层拓扑结构，Leaf网络 8 个交换节点。若继续扩容，总节点为 8 的倍数，需要增加 Spine 层网络。按照 2 层胖树架构推演，光模块需求比约在 1:4。
也就是说，对于Scale Out来讲，NPU和400G光模块的用量比例是1:4。</t>
    <phoneticPr fontId="4" type="noConversion"/>
  </si>
  <si>
    <t>400g LPO光模块功耗</t>
    <phoneticPr fontId="4" type="noConversion"/>
  </si>
  <si>
    <t>单卡光模块功耗</t>
    <phoneticPr fontId="4" type="noConversion"/>
  </si>
  <si>
    <t>单卡功耗</t>
    <phoneticPr fontId="4" type="noConversion"/>
  </si>
  <si>
    <t>英伟达</t>
    <phoneticPr fontId="4" type="noConversion"/>
  </si>
  <si>
    <t>集群总功耗</t>
    <phoneticPr fontId="4" type="noConversion"/>
  </si>
  <si>
    <t>来自卡的总功耗</t>
    <phoneticPr fontId="4" type="noConversion"/>
  </si>
  <si>
    <t>集群的平均每卡功耗</t>
    <phoneticPr fontId="4" type="noConversion"/>
  </si>
  <si>
    <t>https://mp.weixin.qq.com/s/qUn2h9uTGFZPq1LweySqYg</t>
  </si>
  <si>
    <t>集群的平均计算功耗（W/TFLOPS)</t>
    <phoneticPr fontId="4" type="noConversion"/>
  </si>
  <si>
    <t>其中光模块的平均计算功耗</t>
    <phoneticPr fontId="4" type="noConversion"/>
  </si>
  <si>
    <t>光模块在平均计算功耗差值中的贡献率</t>
    <phoneticPr fontId="4" type="noConversion"/>
  </si>
  <si>
    <t>单卡在平均计算功耗中的贡献率</t>
    <phoneticPr fontId="4" type="noConversion"/>
  </si>
  <si>
    <t>单卡平均计算功耗</t>
    <phoneticPr fontId="4" type="noConversion"/>
  </si>
  <si>
    <t>CM384效能</t>
  </si>
  <si>
    <t>光模块贡献效能差</t>
  </si>
  <si>
    <t>单卡贡献效能差</t>
  </si>
  <si>
    <t>其他部分贡献效能差</t>
  </si>
  <si>
    <t>GB200 NVL72效能</t>
  </si>
  <si>
    <t>效能差异拆解</t>
    <phoneticPr fontId="4" type="noConversion"/>
  </si>
  <si>
    <t>潜在规模 = 高速光模块（&gt;800G）端口数 * CPO渗透率 * 单端口价格</t>
    <phoneticPr fontId="4" type="noConversion"/>
  </si>
  <si>
    <t>https://mp.weixin.qq.com/s/JnxtcEzp2fbRWKL0X8ZIRQ</t>
  </si>
  <si>
    <t>大摩</t>
    <phoneticPr fontId="4" type="noConversion"/>
  </si>
  <si>
    <t>1）基准情景：2030年市场规模达93亿美元，2023-2030年CAGR为172%；</t>
  </si>
  <si>
    <t>2）乐观情景：2030年市场规模突破230亿美元，CAGR达210%。</t>
  </si>
  <si>
    <t>3）预测依据及核心假设：</t>
  </si>
  <si>
    <t>技术突破加速：英伟达Rubin服务器机架系统2026年量产，带动CPO在AI超算中的渗透率快速提升；</t>
  </si>
  <si>
    <t>应用场景扩展：覆盖超大规模训练集群（如万卡互联）、全光网络交换机（OCS）、元宇宙基础设施等；</t>
  </si>
  <si>
    <t>供应链成熟：台积电COUPE平台和日月光SiP封装技术推动良率提升至90%+，单位成本下降40%。</t>
  </si>
  <si>
    <t>Data Rate</t>
    <phoneticPr fontId="4" type="noConversion"/>
  </si>
  <si>
    <t>像素基准</t>
    <phoneticPr fontId="4" type="noConversion"/>
  </si>
  <si>
    <t>对应规模（$b）</t>
    <phoneticPr fontId="4" type="noConversion"/>
  </si>
  <si>
    <t>CPO市场规模像素</t>
    <phoneticPr fontId="4" type="noConversion"/>
  </si>
  <si>
    <t>2030E CPO规模像素</t>
    <phoneticPr fontId="4" type="noConversion"/>
  </si>
  <si>
    <t>CPO市场规模（$b）</t>
    <phoneticPr fontId="4" type="noConversion"/>
  </si>
  <si>
    <t>2030E CPO规模（$b）</t>
    <phoneticPr fontId="4" type="noConversion"/>
  </si>
  <si>
    <t>SUM</t>
    <phoneticPr fontId="4" type="noConversion"/>
  </si>
  <si>
    <t>CPO市场规模（上图）</t>
    <phoneticPr fontId="4" type="noConversion"/>
  </si>
  <si>
    <t>CPO在光模块的渗透率（2029E）</t>
    <phoneticPr fontId="4" type="noConversion"/>
  </si>
  <si>
    <t>Lightcounting的一系列数</t>
    <phoneticPr fontId="4" type="noConversion"/>
  </si>
  <si>
    <t>CPO渗透率（2029E）</t>
    <phoneticPr fontId="4" type="noConversion"/>
  </si>
  <si>
    <t>下面这个算出来的渗透率太低了，lightcounting上面给出的2029E渗透率很可能有问题</t>
    <phoneticPr fontId="4" type="noConversion"/>
  </si>
  <si>
    <t>Lightcounting预测出货量（右图）</t>
    <phoneticPr fontId="4" type="noConversion"/>
  </si>
  <si>
    <t>对应CPO总市场规模</t>
    <phoneticPr fontId="4" type="noConversion"/>
  </si>
  <si>
    <t>Yole数据</t>
    <phoneticPr fontId="4" type="noConversion"/>
  </si>
  <si>
    <t>TOTAL</t>
  </si>
  <si>
    <t>TOTAL CPO Scale-Up</t>
  </si>
  <si>
    <t>TOTAL CPO Scale-Out</t>
  </si>
  <si>
    <r>
      <rPr>
        <b/>
        <sz val="11"/>
        <color rgb="FF000000"/>
        <rFont val="等线"/>
        <family val="2"/>
        <charset val="134"/>
      </rPr>
      <t>单价</t>
    </r>
    <phoneticPr fontId="4" type="noConversion"/>
  </si>
  <si>
    <t>$5b</t>
    <phoneticPr fontId="4" type="noConversion"/>
  </si>
  <si>
    <t>Lightcounting、小摩</t>
    <phoneticPr fontId="4" type="noConversion"/>
  </si>
  <si>
    <t>$5.4b</t>
    <phoneticPr fontId="4" type="noConversion"/>
  </si>
  <si>
    <t>关键假设</t>
    <phoneticPr fontId="4" type="noConversion"/>
  </si>
  <si>
    <t>到2025年，该市场预计将迎来拐点，规模达到约2500万美元，并在随后几年以年均近三倍的速度扩张，到2030年有望突破50亿美元。需要注意的是，虽然市场增长初期由800G和1.6T解决方案推动，但更重要的驱动因素将是3.2T技术的推出——该技术于2027年启动，并在后续年份加速普及。</t>
    <phoneticPr fontId="4" type="noConversion"/>
  </si>
  <si>
    <t>Yole</t>
    <phoneticPr fontId="4" type="noConversion"/>
  </si>
  <si>
    <t>$8.1b</t>
    <phoneticPr fontId="4" type="noConversion"/>
  </si>
  <si>
    <t>CPO的市场份额</t>
    <phoneticPr fontId="4" type="noConversion"/>
  </si>
  <si>
    <t>规模预计（Revenue，2030E）</t>
    <phoneticPr fontId="4" type="noConversion"/>
  </si>
  <si>
    <t>20%-25%</t>
    <phoneticPr fontId="4" type="noConversion"/>
  </si>
  <si>
    <t>2029E</t>
    <phoneticPr fontId="4" type="noConversion"/>
  </si>
  <si>
    <t>HSBC预测出货量(million)</t>
    <phoneticPr fontId="4" type="noConversion"/>
  </si>
  <si>
    <t>1. 关键假设</t>
    <phoneticPr fontId="4" type="noConversion"/>
  </si>
  <si>
    <t>1）产能扩张节奏；2）EML供应（短缺利好硅光）；3）2026Q3-Q4价格谈判；4）HPC对2027年的需求及3.2t进展</t>
    <phoneticPr fontId="4" type="noConversion"/>
  </si>
  <si>
    <t>2. 差异观点</t>
    <phoneticPr fontId="4" type="noConversion"/>
  </si>
  <si>
    <t>3. 后续关注</t>
    <phoneticPr fontId="4" type="noConversion"/>
  </si>
  <si>
    <t>1) 轻资产+规模化硅光成本下降；2) 关税壁垒的消除减轻了出货的不确定性; 3) ASP下降缓慢</t>
    <phoneticPr fontId="4" type="noConversion"/>
  </si>
  <si>
    <t>4. 标的观点</t>
    <phoneticPr fontId="4" type="noConversion"/>
  </si>
  <si>
    <t>中际旭创</t>
    <phoneticPr fontId="4" type="noConversion"/>
  </si>
  <si>
    <t>GPU与光模块的美元配比率随速率持续提升</t>
    <phoneticPr fontId="4" type="noConversion"/>
  </si>
  <si>
    <t>1）供给：布局在泰国的出货点不会受到关税影响（由客户承担）且员工数、规模已超过coherent，会被客户优先需求；硅光方案比EML方案（coherent）快一个季度；2）需求：GPU配光模块的价值还在提升</t>
    <phoneticPr fontId="4" type="noConversion"/>
  </si>
  <si>
    <t>高盛：（中际旭创、新易盛）Incremental strength on scale advantage/supply tightness; raise Innolight/Eoptolink TPs; Buy</t>
    <phoneticPr fontId="4" type="noConversion"/>
  </si>
  <si>
    <t>UE: 单GPU量和价</t>
    <phoneticPr fontId="4" type="noConversion"/>
  </si>
  <si>
    <t>GPU型号</t>
    <phoneticPr fontId="4" type="noConversion"/>
  </si>
  <si>
    <t>800G光模块数量</t>
    <phoneticPr fontId="4" type="noConversion"/>
  </si>
  <si>
    <t>H100</t>
    <phoneticPr fontId="4" type="noConversion"/>
  </si>
  <si>
    <t>B200/GB200</t>
    <phoneticPr fontId="4" type="noConversion"/>
  </si>
  <si>
    <t>B300</t>
    <phoneticPr fontId="4" type="noConversion"/>
  </si>
  <si>
    <t>DSF训练集群</t>
    <phoneticPr fontId="4" type="noConversion"/>
  </si>
  <si>
    <t>H100 (800G)</t>
    <phoneticPr fontId="4" type="noConversion"/>
  </si>
  <si>
    <t>GB300 (1.6T)</t>
    <phoneticPr fontId="4" type="noConversion"/>
  </si>
  <si>
    <t>Rubin Ultra (3.2T)</t>
    <phoneticPr fontId="4" type="noConversion"/>
  </si>
  <si>
    <t>光模块费用($)/花费在GPU中的每美元</t>
    <phoneticPr fontId="4" type="noConversion"/>
  </si>
  <si>
    <t>https://mp.weixin.qq.com/s/zfIo8bj_-ArIjF5u_N7I8g</t>
    <phoneticPr fontId="4" type="noConversion"/>
  </si>
  <si>
    <t>平均每卡光模块功耗</t>
    <phoneticPr fontId="4" type="noConversion"/>
  </si>
  <si>
    <t>卡数</t>
    <phoneticPr fontId="4" type="noConversion"/>
  </si>
  <si>
    <t>GB200单卡功耗（GB200 2700W/unit，含3块B200）</t>
    <phoneticPr fontId="4" type="noConversion"/>
  </si>
  <si>
    <t>光模块占单卡的功耗比</t>
    <phoneticPr fontId="4" type="noConversion"/>
  </si>
  <si>
    <t>铜（Gbps/line）</t>
    <phoneticPr fontId="4" type="noConversion"/>
  </si>
  <si>
    <t>光模块（Gbps/line）</t>
    <phoneticPr fontId="4" type="noConversion"/>
  </si>
  <si>
    <t>Revenue (left)</t>
    <phoneticPr fontId="4" type="noConversion"/>
  </si>
  <si>
    <t>NPO物理图</t>
    <phoneticPr fontId="4" type="noConversion"/>
  </si>
  <si>
    <t>阿里云NPO</t>
    <phoneticPr fontId="4" type="noConversion"/>
  </si>
  <si>
    <t>https://mp.weixin.qq.com/s/rkTVWObLp1e07CQr-e_CSw</t>
  </si>
  <si>
    <t>1. 25年3.2T，26/27年CPO</t>
    <phoneticPr fontId="4" type="noConversion"/>
  </si>
  <si>
    <t>2. NPO在技术、生态、制造上相对CPO有优势：80分 vs 100分</t>
    <phoneticPr fontId="4" type="noConversion"/>
  </si>
  <si>
    <t>https://mp.weixin.qq.com/s/qDMz6XstmpcRqsaYZwkVsQ</t>
  </si>
  <si>
    <t>光博会上已展示的NPO方案</t>
    <phoneticPr fontId="4" type="noConversion"/>
  </si>
  <si>
    <t>华为海思</t>
    <phoneticPr fontId="4" type="noConversion"/>
  </si>
  <si>
    <t>博通</t>
    <phoneticPr fontId="4" type="noConversion"/>
  </si>
  <si>
    <t>https://mp.weixin.qq.com/s/qDMz6XstmpcRqsaYZwkVsQ</t>
    <phoneticPr fontId="4" type="noConversion"/>
  </si>
  <si>
    <t>https://mp.weixin.qq.com/s/8XF-tvXCslEiVOnu1enSDA</t>
  </si>
  <si>
    <t>NPO界定</t>
    <phoneticPr fontId="4" type="noConversion"/>
  </si>
  <si>
    <t>热插拔</t>
    <phoneticPr fontId="4" type="noConversion"/>
  </si>
  <si>
    <t>LPO</t>
    <phoneticPr fontId="4" type="noConversion"/>
  </si>
  <si>
    <t>800G单端口功耗（W）</t>
    <phoneticPr fontId="4" type="noConversion"/>
  </si>
  <si>
    <t>CPO和NPO从标准上的界定</t>
    <phoneticPr fontId="4" type="noConversion"/>
  </si>
  <si>
    <t>Gross margin (right)</t>
    <phoneticPr fontId="4" type="noConversion"/>
  </si>
  <si>
    <t>电费节约</t>
    <phoneticPr fontId="4" type="noConversion"/>
  </si>
  <si>
    <t>Google占ASIC share</t>
    <phoneticPr fontId="4" type="noConversion"/>
  </si>
  <si>
    <t>博通相关占ASIC share</t>
    <phoneticPr fontId="4" type="noConversion"/>
  </si>
  <si>
    <t>ASIC占整体share</t>
    <phoneticPr fontId="4" type="noConversion"/>
  </si>
  <si>
    <t>Others</t>
    <phoneticPr fontId="4" type="noConversion"/>
  </si>
  <si>
    <t>Note</t>
    <phoneticPr fontId="4" type="noConversion"/>
  </si>
  <si>
    <t>J.P.Morgan</t>
    <phoneticPr fontId="4" type="noConversion"/>
  </si>
  <si>
    <t>Citi</t>
    <phoneticPr fontId="4" type="noConversion"/>
  </si>
  <si>
    <t>交换机</t>
    <phoneticPr fontId="4" type="noConversion"/>
  </si>
  <si>
    <t>102.4Tbps</t>
    <phoneticPr fontId="4" type="noConversion"/>
  </si>
  <si>
    <t>51.2Tbps</t>
    <phoneticPr fontId="4" type="noConversion"/>
  </si>
  <si>
    <t>光模块</t>
    <phoneticPr fontId="4" type="noConversion"/>
  </si>
  <si>
    <t>交换机:光模块</t>
    <phoneticPr fontId="4" type="noConversion"/>
  </si>
  <si>
    <t>交换机与光模块功耗比例</t>
    <phoneticPr fontId="4" type="noConversion"/>
  </si>
  <si>
    <t>204.8Tbps</t>
    <phoneticPr fontId="4" type="noConversion"/>
  </si>
  <si>
    <t>传统交换机</t>
    <phoneticPr fontId="4" type="noConversion"/>
  </si>
  <si>
    <t>CPO系统级功耗</t>
    <phoneticPr fontId="4" type="noConversion"/>
  </si>
  <si>
    <t>光模块系统级功耗</t>
    <phoneticPr fontId="4" type="noConversion"/>
  </si>
  <si>
    <t>光模块/卡</t>
    <phoneticPr fontId="4" type="noConversion"/>
  </si>
  <si>
    <t>单port系统级功耗节约</t>
    <phoneticPr fontId="4" type="noConversion"/>
  </si>
  <si>
    <t>功耗节约</t>
    <phoneticPr fontId="4" type="noConversion"/>
  </si>
  <si>
    <t>年电费（元）</t>
    <phoneticPr fontId="4" type="noConversion"/>
  </si>
  <si>
    <t>Amazon占整体比例</t>
    <phoneticPr fontId="4" type="noConversion"/>
  </si>
  <si>
    <t>Google占整体比例</t>
    <phoneticPr fontId="4" type="noConversion"/>
  </si>
  <si>
    <t>Meta占整体比例</t>
    <phoneticPr fontId="4" type="noConversion"/>
  </si>
  <si>
    <t>其他占整体比例</t>
    <phoneticPr fontId="4" type="noConversion"/>
  </si>
  <si>
    <t>Net profit (left)</t>
    <phoneticPr fontId="4" type="noConversion"/>
  </si>
  <si>
    <t>博通ASIC占整体比例</t>
    <phoneticPr fontId="4" type="noConversion"/>
  </si>
  <si>
    <t>其他ASIC占整体比例</t>
    <phoneticPr fontId="4" type="noConversion"/>
  </si>
  <si>
    <t>100mn RMB</t>
    <phoneticPr fontId="4" type="noConversion"/>
  </si>
  <si>
    <t>2024营业成本</t>
    <phoneticPr fontId="4" type="noConversion"/>
  </si>
  <si>
    <t>H2_AN202504171658046626_1.pdf</t>
  </si>
  <si>
    <t>P4</t>
    <phoneticPr fontId="4" type="noConversion"/>
  </si>
  <si>
    <t>H2_AN202504171658046622_1.pdf</t>
  </si>
  <si>
    <t>P268</t>
    <phoneticPr fontId="4" type="noConversion"/>
  </si>
  <si>
    <t>1221663098.PDF</t>
  </si>
  <si>
    <t>P6</t>
    <phoneticPr fontId="4" type="noConversion"/>
  </si>
  <si>
    <t>万卡总光模块功耗（W）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</si>
</sst>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24" formatCode="\$#,##0_);[Red]\(\$#,##0\)"/>
    <numFmt numFmtId="26" formatCode="\$#,##0.00_);[Red]\(\$#,##0.00\)"/>
    <numFmt numFmtId="176" formatCode="0.0"/>
    <numFmt numFmtId="177" formatCode="0.0%"/>
    <numFmt numFmtId="178" formatCode="0.00_);[Red]\(0.00\)"/>
    <numFmt numFmtId="179" formatCode="yyyy"/>
    <numFmt numFmtId="180" formatCode="_ * #,##0_ ;_ * \-#,##0_ ;_ * &quot;-&quot;??_ ;_ @_ "/>
  </numFmts>
  <fonts count="44">
    <font>
      <sz val="11"/>
      <color theme="1"/>
      <name val="等线"/>
      <family val="2"/>
      <charset val="134"/>
      <scheme val="minor"/>
    </font>
    <font>
      <sz val="9"/>
      <color rgb="FF000000"/>
      <name val="微软雅黑"/>
      <family val="2"/>
      <charset val="134"/>
    </font>
    <font>
      <sz val="9"/>
      <color rgb="FF333333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等线"/>
      <family val="2"/>
      <charset val="134"/>
      <scheme val="minor"/>
    </font>
    <font>
      <sz val="5"/>
      <color theme="1"/>
      <name val="Microsoft YaHei UI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6"/>
      <color rgb="FF000000"/>
      <name val="楷体"/>
      <family val="3"/>
      <charset val="134"/>
    </font>
    <font>
      <sz val="10"/>
      <color rgb="FF000000"/>
      <name val="楷体"/>
      <family val="3"/>
      <charset val="134"/>
    </font>
    <font>
      <b/>
      <sz val="11"/>
      <color rgb="FF000000"/>
      <name val="Inherit"/>
      <family val="2"/>
    </font>
    <font>
      <sz val="11"/>
      <color rgb="FF000000"/>
      <name val="Inherit"/>
      <family val="2"/>
    </font>
    <font>
      <b/>
      <sz val="11"/>
      <color rgb="FF000000"/>
      <name val="等线"/>
      <family val="2"/>
      <charset val="134"/>
    </font>
    <font>
      <b/>
      <sz val="11"/>
      <color rgb="FF000000"/>
      <name val="Inherit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</font>
    <font>
      <i/>
      <sz val="5"/>
      <color rgb="FF000000"/>
      <name val="Inherit"/>
      <family val="2"/>
    </font>
    <font>
      <b/>
      <sz val="11"/>
      <color rgb="FF000000"/>
      <name val="Arial"/>
      <family val="2"/>
    </font>
    <font>
      <sz val="5"/>
      <color rgb="FF000000"/>
      <name val="Segoe UI"/>
      <family val="2"/>
    </font>
    <font>
      <b/>
      <sz val="13.5"/>
      <color rgb="FF000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Inherit"/>
      <family val="2"/>
      <charset val="134"/>
    </font>
    <font>
      <sz val="11"/>
      <color rgb="FF000000"/>
      <name val="Arial"/>
      <family val="2"/>
    </font>
    <font>
      <sz val="11"/>
      <color rgb="FF000000"/>
      <name val="Inherit"/>
      <family val="2"/>
      <charset val="134"/>
    </font>
    <font>
      <sz val="11"/>
      <color rgb="FF000000"/>
      <name val="MS Gothic"/>
      <family val="3"/>
      <charset val="128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Segoe UI"/>
      <family val="2"/>
    </font>
    <font>
      <b/>
      <sz val="11"/>
      <color theme="1"/>
      <name val="等线"/>
      <family val="2"/>
      <charset val="134"/>
    </font>
    <font>
      <sz val="11"/>
      <color theme="1"/>
      <name val="等线"/>
      <family val="2"/>
      <charset val="134"/>
    </font>
    <font>
      <sz val="10"/>
      <color theme="1"/>
      <name val="微软雅黑 Light"/>
      <family val="2"/>
      <charset val="134"/>
    </font>
    <font>
      <sz val="10"/>
      <color rgb="FF3F3F3F"/>
      <name val="微软雅黑 Light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u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9" fontId="0" fillId="0" borderId="0" xfId="0" applyNumberForma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5" fillId="0" borderId="0" xfId="1">
      <alignment vertical="center"/>
    </xf>
    <xf numFmtId="0" fontId="5" fillId="0" borderId="0" xfId="1" applyAlignment="1" applyProtection="1">
      <alignment horizontal="center" vertical="top"/>
    </xf>
    <xf numFmtId="0" fontId="5" fillId="0" borderId="0" xfId="1" applyAlignment="1" applyProtection="1">
      <alignment horizontal="left"/>
    </xf>
    <xf numFmtId="10" fontId="5" fillId="0" borderId="0" xfId="1" applyNumberFormat="1">
      <alignment vertical="center"/>
    </xf>
    <xf numFmtId="9" fontId="1" fillId="0" borderId="0" xfId="0" applyNumberFormat="1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9" fontId="7" fillId="0" borderId="0" xfId="0" applyNumberFormat="1" applyFont="1" applyAlignment="1">
      <alignment vertical="center" wrapText="1"/>
    </xf>
    <xf numFmtId="0" fontId="8" fillId="0" borderId="0" xfId="2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/>
    </xf>
    <xf numFmtId="0" fontId="10" fillId="0" borderId="0" xfId="0" applyFont="1">
      <alignment vertical="center"/>
    </xf>
    <xf numFmtId="0" fontId="11" fillId="0" borderId="0" xfId="2" applyFo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>
      <alignment vertical="center"/>
    </xf>
    <xf numFmtId="10" fontId="9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0" fontId="21" fillId="0" borderId="0" xfId="0" applyFont="1">
      <alignment vertical="center"/>
    </xf>
    <xf numFmtId="0" fontId="17" fillId="0" borderId="0" xfId="0" applyFont="1" applyAlignment="1">
      <alignment horizontal="center" vertical="center" wrapText="1"/>
    </xf>
    <xf numFmtId="0" fontId="23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1" fillId="0" borderId="0" xfId="0" applyFont="1" applyAlignment="1">
      <alignment vertical="center" wrapText="1"/>
    </xf>
    <xf numFmtId="0" fontId="8" fillId="0" borderId="0" xfId="2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5" fillId="0" borderId="0" xfId="1">
      <alignment vertical="center"/>
    </xf>
    <xf numFmtId="0" fontId="5" fillId="0" borderId="0" xfId="1" applyAlignment="1" applyProtection="1">
      <alignment horizontal="center" vertical="top"/>
    </xf>
    <xf numFmtId="0" fontId="5" fillId="0" borderId="0" xfId="1">
      <alignment vertical="center"/>
    </xf>
    <xf numFmtId="0" fontId="5" fillId="0" borderId="0" xfId="1" applyAlignment="1" applyProtection="1">
      <alignment horizontal="center" vertical="top"/>
    </xf>
    <xf numFmtId="0" fontId="0" fillId="0" borderId="0" xfId="0" applyAlignment="1">
      <alignment horizontal="center" vertical="center" wrapText="1"/>
    </xf>
    <xf numFmtId="0" fontId="31" fillId="0" borderId="0" xfId="0" applyFont="1">
      <alignment vertical="center"/>
    </xf>
    <xf numFmtId="0" fontId="8" fillId="0" borderId="0" xfId="2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9" fontId="0" fillId="0" borderId="0" xfId="3" applyFont="1">
      <alignment vertical="center"/>
    </xf>
    <xf numFmtId="177" fontId="0" fillId="0" borderId="0" xfId="3" applyNumberFormat="1" applyFont="1">
      <alignment vertical="center"/>
    </xf>
    <xf numFmtId="0" fontId="36" fillId="0" borderId="0" xfId="0" applyFont="1" applyAlignment="1">
      <alignment horizontal="center" vertical="center" wrapText="1"/>
    </xf>
    <xf numFmtId="178" fontId="15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1" fillId="0" borderId="0" xfId="0" applyFont="1" applyAlignment="1">
      <alignment horizontal="left" vertical="center" wrapText="1"/>
    </xf>
    <xf numFmtId="2" fontId="0" fillId="0" borderId="0" xfId="0" applyNumberFormat="1">
      <alignment vertical="center"/>
    </xf>
    <xf numFmtId="0" fontId="5" fillId="0" borderId="0" xfId="1">
      <alignment vertical="center"/>
    </xf>
    <xf numFmtId="0" fontId="5" fillId="0" borderId="0" xfId="1" applyAlignment="1" applyProtection="1">
      <alignment horizontal="center" vertical="top"/>
    </xf>
    <xf numFmtId="0" fontId="39" fillId="0" borderId="0" xfId="0" applyFont="1">
      <alignment vertical="center"/>
    </xf>
    <xf numFmtId="0" fontId="40" fillId="0" borderId="0" xfId="0" applyFont="1" applyAlignment="1">
      <alignment horizontal="justify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43" fontId="0" fillId="0" borderId="0" xfId="4" applyFont="1">
      <alignment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24" fontId="15" fillId="0" borderId="0" xfId="0" applyNumberFormat="1" applyFont="1" applyAlignment="1">
      <alignment horizontal="left" vertical="center" wrapText="1"/>
    </xf>
    <xf numFmtId="0" fontId="15" fillId="0" borderId="0" xfId="0" applyNumberFormat="1" applyFont="1" applyAlignment="1">
      <alignment horizontal="left" vertical="center" wrapText="1"/>
    </xf>
    <xf numFmtId="26" fontId="0" fillId="0" borderId="0" xfId="0" applyNumberForma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58" fontId="0" fillId="0" borderId="0" xfId="0" applyNumberFormat="1">
      <alignment vertical="center"/>
    </xf>
    <xf numFmtId="180" fontId="0" fillId="0" borderId="0" xfId="4" applyNumberFormat="1" applyFon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4" applyNumberFormat="1" applyFont="1">
      <alignment vertical="center"/>
    </xf>
    <xf numFmtId="43" fontId="0" fillId="0" borderId="0" xfId="0" applyNumberFormat="1">
      <alignment vertical="center"/>
    </xf>
    <xf numFmtId="1" fontId="31" fillId="0" borderId="0" xfId="0" applyNumberFormat="1" applyFont="1">
      <alignment vertical="center"/>
    </xf>
    <xf numFmtId="0" fontId="31" fillId="2" borderId="0" xfId="0" applyFont="1" applyFill="1">
      <alignment vertical="center"/>
    </xf>
    <xf numFmtId="180" fontId="31" fillId="2" borderId="0" xfId="4" applyNumberFormat="1" applyFont="1" applyFill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</cellXfs>
  <cellStyles count="5">
    <cellStyle name="百分比" xfId="3" builtinId="5"/>
    <cellStyle name="常规" xfId="0" builtinId="0"/>
    <cellStyle name="常规 2" xfId="1" xr:uid="{52D13F44-1C40-4518-AC23-4BCDA05C3454}"/>
    <cellStyle name="超链接" xfId="2" builtinId="8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'P5 铜到光'!$J$2</c:f>
              <c:strCache>
                <c:ptCount val="1"/>
                <c:pt idx="0">
                  <c:v>推理算力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'P5 铜到光'!$K$1:$O$1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cat>
          <c:val>
            <c:numRef>
              <c:f>'P5 铜到光'!$K$2:$O$2</c:f>
              <c:numCache>
                <c:formatCode>General</c:formatCode>
                <c:ptCount val="5"/>
                <c:pt idx="0">
                  <c:v>19</c:v>
                </c:pt>
                <c:pt idx="1">
                  <c:v>130</c:v>
                </c:pt>
                <c:pt idx="2">
                  <c:v>620</c:v>
                </c:pt>
                <c:pt idx="3">
                  <c:v>4000</c:v>
                </c:pt>
                <c:pt idx="4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5-45E3-8FE2-E95D2E13EF6D}"/>
            </c:ext>
          </c:extLst>
        </c:ser>
        <c:ser>
          <c:idx val="1"/>
          <c:order val="1"/>
          <c:tx>
            <c:strRef>
              <c:f>'P5 铜到光'!$J$3</c:f>
              <c:strCache>
                <c:ptCount val="1"/>
                <c:pt idx="0">
                  <c:v>训练算力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'P5 铜到光'!$K$1:$O$1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cat>
          <c:val>
            <c:numRef>
              <c:f>'P5 铜到光'!$K$3:$O$3</c:f>
              <c:numCache>
                <c:formatCode>General</c:formatCode>
                <c:ptCount val="5"/>
                <c:pt idx="2">
                  <c:v>620</c:v>
                </c:pt>
                <c:pt idx="3">
                  <c:v>1987.1794871794871</c:v>
                </c:pt>
                <c:pt idx="4">
                  <c:v>3477.5641025641025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5-45E3-8FE2-E95D2E13EF6D}"/>
            </c:ext>
          </c:extLst>
        </c:ser>
        <c:ser>
          <c:idx val="2"/>
          <c:order val="2"/>
          <c:tx>
            <c:strRef>
              <c:f>'P5 铜到光'!$J$4</c:f>
              <c:strCache>
                <c:ptCount val="1"/>
                <c:pt idx="0">
                  <c:v>网络带宽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'P5 铜到光'!$K$1:$O$1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cat>
          <c:val>
            <c:numRef>
              <c:f>'P5 铜到光'!$K$4:$O$4</c:f>
              <c:numCache>
                <c:formatCode>General</c:formatCode>
                <c:ptCount val="5"/>
                <c:pt idx="2">
                  <c:v>620</c:v>
                </c:pt>
                <c:pt idx="3">
                  <c:v>1240</c:v>
                </c:pt>
                <c:pt idx="4">
                  <c:v>2480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5-45E3-8FE2-E95D2E13E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269808"/>
        <c:axId val="278280848"/>
      </c:lineChart>
      <c:catAx>
        <c:axId val="2782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280848"/>
        <c:crosses val="autoZero"/>
        <c:auto val="1"/>
        <c:lblAlgn val="ctr"/>
        <c:lblOffset val="100"/>
        <c:noMultiLvlLbl val="0"/>
      </c:catAx>
      <c:valAx>
        <c:axId val="2782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26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'P5 铜到光'!$M$35</c:f>
              <c:strCache>
                <c:ptCount val="1"/>
                <c:pt idx="0">
                  <c:v>铜（Gbps/line）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'P5 铜到光'!$L$36:$L$39</c:f>
              <c:numCache>
                <c:formatCode>General</c:formatCode>
                <c:ptCount val="4"/>
                <c:pt idx="0">
                  <c:v>2020</c:v>
                </c:pt>
                <c:pt idx="1">
                  <c:v>2022</c:v>
                </c:pt>
                <c:pt idx="2">
                  <c:v>2024</c:v>
                </c:pt>
                <c:pt idx="3">
                  <c:v>2026</c:v>
                </c:pt>
              </c:numCache>
            </c:numRef>
          </c:cat>
          <c:val>
            <c:numRef>
              <c:f>'P5 铜到光'!$M$36:$M$39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F-4C34-A360-75CD7485B406}"/>
            </c:ext>
          </c:extLst>
        </c:ser>
        <c:ser>
          <c:idx val="0"/>
          <c:order val="1"/>
          <c:tx>
            <c:strRef>
              <c:f>'P5 铜到光'!$N$35</c:f>
              <c:strCache>
                <c:ptCount val="1"/>
                <c:pt idx="0">
                  <c:v>光模块（Gbps/line）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'P5 铜到光'!$L$36:$L$39</c:f>
              <c:numCache>
                <c:formatCode>General</c:formatCode>
                <c:ptCount val="4"/>
                <c:pt idx="0">
                  <c:v>2020</c:v>
                </c:pt>
                <c:pt idx="1">
                  <c:v>2022</c:v>
                </c:pt>
                <c:pt idx="2">
                  <c:v>2024</c:v>
                </c:pt>
                <c:pt idx="3">
                  <c:v>2026</c:v>
                </c:pt>
              </c:numCache>
            </c:numRef>
          </c:cat>
          <c:val>
            <c:numRef>
              <c:f>'P5 铜到光'!$N$36:$N$39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F-4C34-A360-75CD7485B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581919"/>
        <c:axId val="964586239"/>
      </c:lineChart>
      <c:catAx>
        <c:axId val="96458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4586239"/>
        <c:crosses val="autoZero"/>
        <c:auto val="1"/>
        <c:lblAlgn val="ctr"/>
        <c:lblOffset val="100"/>
        <c:noMultiLvlLbl val="0"/>
      </c:catAx>
      <c:valAx>
        <c:axId val="964586239"/>
        <c:scaling>
          <c:logBase val="2"/>
          <c:orientation val="minMax"/>
          <c:max val="800"/>
          <c:min val="2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458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'P5 铜到光'!$AL$34</c:f>
              <c:strCache>
                <c:ptCount val="1"/>
                <c:pt idx="0">
                  <c:v>Maximum Reach(m)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'P5 铜到光'!$AK$35:$AK$41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400</c:v>
                </c:pt>
              </c:numCache>
            </c:numRef>
          </c:cat>
          <c:val>
            <c:numRef>
              <c:f>'P5 铜到光'!$AL$35:$AL$41</c:f>
              <c:numCache>
                <c:formatCode>0</c:formatCode>
                <c:ptCount val="7"/>
                <c:pt idx="0">
                  <c:v>25.22727272727273</c:v>
                </c:pt>
                <c:pt idx="1">
                  <c:v>15.113636363636365</c:v>
                </c:pt>
                <c:pt idx="2">
                  <c:v>7.1590909090909092</c:v>
                </c:pt>
                <c:pt idx="3">
                  <c:v>5.1136363636363633</c:v>
                </c:pt>
                <c:pt idx="4">
                  <c:v>3.0681818181818183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1-48F2-98A6-1AED970BE4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78292368"/>
        <c:axId val="278293328"/>
      </c:barChart>
      <c:catAx>
        <c:axId val="2782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293328"/>
        <c:crosses val="autoZero"/>
        <c:auto val="1"/>
        <c:lblAlgn val="ctr"/>
        <c:lblOffset val="100"/>
        <c:noMultiLvlLbl val="1"/>
      </c:catAx>
      <c:valAx>
        <c:axId val="27829332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2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'P8 可插拔到CPO的功耗'!$J$1</c:f>
              <c:strCache>
                <c:ptCount val="1"/>
                <c:pt idx="0">
                  <c:v>单通道功耗（瓦）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'P8 可插拔到CPO的功耗'!$I$2:$I$4</c:f>
              <c:strCache>
                <c:ptCount val="3"/>
                <c:pt idx="0">
                  <c:v>铜</c:v>
                </c:pt>
                <c:pt idx="1">
                  <c:v>CPO</c:v>
                </c:pt>
                <c:pt idx="2">
                  <c:v>可插拔光模块</c:v>
                </c:pt>
              </c:strCache>
            </c:strRef>
          </c:cat>
          <c:val>
            <c:numRef>
              <c:f>'P8 可插拔到CPO的功耗'!$J$2:$J$4</c:f>
              <c:numCache>
                <c:formatCode>General</c:formatCode>
                <c:ptCount val="3"/>
                <c:pt idx="0">
                  <c:v>4</c:v>
                </c:pt>
                <c:pt idx="1">
                  <c:v>2.4</c:v>
                </c:pt>
                <c:pt idx="2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8-4936-98B7-F27261E05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3748639"/>
        <c:axId val="233737599"/>
      </c:barChart>
      <c:catAx>
        <c:axId val="23374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3737599"/>
        <c:crosses val="autoZero"/>
        <c:auto val="1"/>
        <c:lblAlgn val="ctr"/>
        <c:lblOffset val="100"/>
        <c:noMultiLvlLbl val="0"/>
      </c:catAx>
      <c:valAx>
        <c:axId val="23373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37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互连技术变迁!$L$2</c:f>
              <c:strCache>
                <c:ptCount val="1"/>
                <c:pt idx="0">
                  <c:v>连接器+线缆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互连技术变迁!$M$1</c:f>
              <c:strCache>
                <c:ptCount val="1"/>
                <c:pt idx="0">
                  <c:v>份额</c:v>
                </c:pt>
              </c:strCache>
            </c:strRef>
          </c:cat>
          <c:val>
            <c:numRef>
              <c:f>互连技术变迁!$M$2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3-483B-A580-26C6BA86281A}"/>
            </c:ext>
          </c:extLst>
        </c:ser>
        <c:ser>
          <c:idx val="1"/>
          <c:order val="1"/>
          <c:tx>
            <c:strRef>
              <c:f>互连技术变迁!$L$3</c:f>
              <c:strCache>
                <c:ptCount val="1"/>
                <c:pt idx="0">
                  <c:v>物理层接口芯片（高速传输接口）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互连技术变迁!$M$1</c:f>
              <c:strCache>
                <c:ptCount val="1"/>
                <c:pt idx="0">
                  <c:v>份额</c:v>
                </c:pt>
              </c:strCache>
            </c:strRef>
          </c:cat>
          <c:val>
            <c:numRef>
              <c:f>互连技术变迁!$M$3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3-483B-A580-26C6BA86281A}"/>
            </c:ext>
          </c:extLst>
        </c:ser>
        <c:ser>
          <c:idx val="2"/>
          <c:order val="2"/>
          <c:tx>
            <c:strRef>
              <c:f>互连技术变迁!$L$4</c:f>
              <c:strCache>
                <c:ptCount val="1"/>
                <c:pt idx="0">
                  <c:v>周边硬件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互连技术变迁!$M$1</c:f>
              <c:strCache>
                <c:ptCount val="1"/>
                <c:pt idx="0">
                  <c:v>份额</c:v>
                </c:pt>
              </c:strCache>
            </c:strRef>
          </c:cat>
          <c:val>
            <c:numRef>
              <c:f>互连技术变迁!$M$4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03-483B-A580-26C6BA8628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63922640"/>
        <c:axId val="963914960"/>
      </c:barChart>
      <c:catAx>
        <c:axId val="96392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914960"/>
        <c:crosses val="autoZero"/>
        <c:auto val="1"/>
        <c:lblAlgn val="ctr"/>
        <c:lblOffset val="100"/>
        <c:noMultiLvlLbl val="0"/>
      </c:catAx>
      <c:valAx>
        <c:axId val="9639149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92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互连技术变迁!$N$2</c:f>
              <c:strCache>
                <c:ptCount val="1"/>
                <c:pt idx="0">
                  <c:v>光芯片+光源（激光器）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互连技术变迁!$O$1</c:f>
              <c:strCache>
                <c:ptCount val="1"/>
                <c:pt idx="0">
                  <c:v>份额</c:v>
                </c:pt>
              </c:strCache>
            </c:strRef>
          </c:cat>
          <c:val>
            <c:numRef>
              <c:f>互连技术变迁!$O$2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8-4CA2-B2DD-86301DBCA240}"/>
            </c:ext>
          </c:extLst>
        </c:ser>
        <c:ser>
          <c:idx val="1"/>
          <c:order val="1"/>
          <c:tx>
            <c:strRef>
              <c:f>互连技术变迁!$N$3</c:f>
              <c:strCache>
                <c:ptCount val="1"/>
                <c:pt idx="0">
                  <c:v>电光接口芯片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互连技术变迁!$O$1</c:f>
              <c:strCache>
                <c:ptCount val="1"/>
                <c:pt idx="0">
                  <c:v>份额</c:v>
                </c:pt>
              </c:strCache>
            </c:strRef>
          </c:cat>
          <c:val>
            <c:numRef>
              <c:f>互连技术变迁!$O$3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8-4CA2-B2DD-86301DBCA240}"/>
            </c:ext>
          </c:extLst>
        </c:ser>
        <c:ser>
          <c:idx val="2"/>
          <c:order val="2"/>
          <c:tx>
            <c:strRef>
              <c:f>互连技术变迁!$N$4</c:f>
              <c:strCache>
                <c:ptCount val="1"/>
                <c:pt idx="0">
                  <c:v>周边硬件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互连技术变迁!$O$1</c:f>
              <c:strCache>
                <c:ptCount val="1"/>
                <c:pt idx="0">
                  <c:v>份额</c:v>
                </c:pt>
              </c:strCache>
            </c:strRef>
          </c:cat>
          <c:val>
            <c:numRef>
              <c:f>互连技术变迁!$O$4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8-4CA2-B2DD-86301DBCA240}"/>
            </c:ext>
          </c:extLst>
        </c:ser>
        <c:ser>
          <c:idx val="3"/>
          <c:order val="3"/>
          <c:tx>
            <c:strRef>
              <c:f>互连技术变迁!$N$5</c:f>
              <c:strCache>
                <c:ptCount val="1"/>
                <c:pt idx="0">
                  <c:v>光模块盒子（工程和供应链的最优形态）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互连技术变迁!$O$1</c:f>
              <c:strCache>
                <c:ptCount val="1"/>
                <c:pt idx="0">
                  <c:v>份额</c:v>
                </c:pt>
              </c:strCache>
            </c:strRef>
          </c:cat>
          <c:val>
            <c:numRef>
              <c:f>互连技术变迁!$O$5</c:f>
              <c:numCache>
                <c:formatCode>0%</c:formatCode>
                <c:ptCount val="1"/>
                <c:pt idx="0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E8-4CA2-B2DD-86301DBC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3921680"/>
        <c:axId val="963922160"/>
      </c:barChart>
      <c:catAx>
        <c:axId val="96392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922160"/>
        <c:crosses val="autoZero"/>
        <c:auto val="1"/>
        <c:lblAlgn val="ctr"/>
        <c:lblOffset val="100"/>
        <c:noMultiLvlLbl val="0"/>
      </c:catAx>
      <c:valAx>
        <c:axId val="963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92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互连技术变迁!$P$2</c:f>
              <c:strCache>
                <c:ptCount val="1"/>
                <c:pt idx="0">
                  <c:v>（硅）光芯片 + 光源（外置光源）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互连技术变迁!$Q$1</c:f>
              <c:strCache>
                <c:ptCount val="1"/>
                <c:pt idx="0">
                  <c:v>份额（预测）</c:v>
                </c:pt>
              </c:strCache>
            </c:strRef>
          </c:cat>
          <c:val>
            <c:numRef>
              <c:f>互连技术变迁!$Q$2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D-4279-8E6F-BEB5857AFDC7}"/>
            </c:ext>
          </c:extLst>
        </c:ser>
        <c:ser>
          <c:idx val="1"/>
          <c:order val="1"/>
          <c:tx>
            <c:strRef>
              <c:f>互连技术变迁!$P$3</c:f>
              <c:strCache>
                <c:ptCount val="1"/>
                <c:pt idx="0">
                  <c:v>电光接口芯片（高速接口）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互连技术变迁!$Q$1</c:f>
              <c:strCache>
                <c:ptCount val="1"/>
                <c:pt idx="0">
                  <c:v>份额（预测）</c:v>
                </c:pt>
              </c:strCache>
            </c:strRef>
          </c:cat>
          <c:val>
            <c:numRef>
              <c:f>互连技术变迁!$Q$3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D-4279-8E6F-BEB5857AFDC7}"/>
            </c:ext>
          </c:extLst>
        </c:ser>
        <c:ser>
          <c:idx val="2"/>
          <c:order val="2"/>
          <c:tx>
            <c:strRef>
              <c:f>互连技术变迁!$P$4</c:f>
              <c:strCache>
                <c:ptCount val="1"/>
                <c:pt idx="0">
                  <c:v>周边硬件（演化为封装与系统配套）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互连技术变迁!$Q$1</c:f>
              <c:strCache>
                <c:ptCount val="1"/>
                <c:pt idx="0">
                  <c:v>份额（预测）</c:v>
                </c:pt>
              </c:strCache>
            </c:strRef>
          </c:cat>
          <c:val>
            <c:numRef>
              <c:f>互连技术变迁!$Q$4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DD-4279-8E6F-BEB5857AFDC7}"/>
            </c:ext>
          </c:extLst>
        </c:ser>
        <c:ser>
          <c:idx val="3"/>
          <c:order val="3"/>
          <c:tx>
            <c:strRef>
              <c:f>互连技术变迁!$P$5</c:f>
              <c:strCache>
                <c:ptCount val="1"/>
                <c:pt idx="0">
                  <c:v>交换机芯片+光引擎封装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互连技术变迁!$Q$1</c:f>
              <c:strCache>
                <c:ptCount val="1"/>
                <c:pt idx="0">
                  <c:v>份额（预测）</c:v>
                </c:pt>
              </c:strCache>
            </c:strRef>
          </c:cat>
          <c:val>
            <c:numRef>
              <c:f>互连技术变迁!$Q$5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DD-4279-8E6F-BEB5857AF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3915920"/>
        <c:axId val="963924080"/>
      </c:barChart>
      <c:catAx>
        <c:axId val="9639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924080"/>
        <c:crosses val="autoZero"/>
        <c:auto val="1"/>
        <c:lblAlgn val="ctr"/>
        <c:lblOffset val="100"/>
        <c:noMultiLvlLbl val="0"/>
      </c:catAx>
      <c:valAx>
        <c:axId val="9639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91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'P15 CPO市场规模估算'!$A$91</c:f>
              <c:strCache>
                <c:ptCount val="1"/>
                <c:pt idx="0">
                  <c:v>CPO渗透率（2029E）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'P15 CPO市场规模估算'!$B$90:$E$90</c:f>
              <c:strCache>
                <c:ptCount val="4"/>
                <c:pt idx="0">
                  <c:v>400G</c:v>
                </c:pt>
                <c:pt idx="1">
                  <c:v>800G</c:v>
                </c:pt>
                <c:pt idx="2">
                  <c:v>1.6T</c:v>
                </c:pt>
                <c:pt idx="3">
                  <c:v>3.2T</c:v>
                </c:pt>
              </c:strCache>
            </c:strRef>
          </c:cat>
          <c:val>
            <c:numRef>
              <c:f>'P15 CPO市场规模估算'!$B$91:$E$91</c:f>
              <c:numCache>
                <c:formatCode>0.00%</c:formatCode>
                <c:ptCount val="4"/>
                <c:pt idx="0" formatCode="General">
                  <c:v>0</c:v>
                </c:pt>
                <c:pt idx="1">
                  <c:v>2.9000000000000001E-2</c:v>
                </c:pt>
                <c:pt idx="2">
                  <c:v>9.5000000000000001E-2</c:v>
                </c:pt>
                <c:pt idx="3">
                  <c:v>0.50600000000000001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8-44FD-AA34-4027FBB2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267071"/>
        <c:axId val="1241268031"/>
      </c:barChart>
      <c:catAx>
        <c:axId val="12412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1268031"/>
        <c:crosses val="autoZero"/>
        <c:auto val="1"/>
        <c:lblAlgn val="ctr"/>
        <c:lblOffset val="100"/>
        <c:noMultiLvlLbl val="0"/>
      </c:catAx>
      <c:valAx>
        <c:axId val="124126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126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不同规格光模块的销售额与出货量!$M$3</c:f>
              <c:strCache>
                <c:ptCount val="1"/>
                <c:pt idx="0">
                  <c:v>100G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不同规格光模块的销售额与出货量!$N$2:$W$2</c:f>
              <c:strCache>
                <c:ptCount val="10"/>
                <c:pt idx="0">
                  <c:v>23Q1</c:v>
                </c:pt>
                <c:pt idx="1">
                  <c:v>23Q2</c:v>
                </c:pt>
                <c:pt idx="2">
                  <c:v>23Q3</c:v>
                </c:pt>
                <c:pt idx="3">
                  <c:v>23Q4</c:v>
                </c:pt>
                <c:pt idx="4">
                  <c:v>24Q1</c:v>
                </c:pt>
                <c:pt idx="5">
                  <c:v>24Q2</c:v>
                </c:pt>
                <c:pt idx="6">
                  <c:v>24Q3</c:v>
                </c:pt>
                <c:pt idx="7">
                  <c:v>24Q4</c:v>
                </c:pt>
                <c:pt idx="8">
                  <c:v>25Q1E</c:v>
                </c:pt>
                <c:pt idx="9">
                  <c:v>25Q2E</c:v>
                </c:pt>
              </c:strCache>
            </c:strRef>
          </c:cat>
          <c:val>
            <c:numRef>
              <c:f>不同规格光模块的销售额与出货量!$N$3:$W$3</c:f>
              <c:numCache>
                <c:formatCode>General</c:formatCode>
                <c:ptCount val="10"/>
                <c:pt idx="0">
                  <c:v>301.18577075098739</c:v>
                </c:pt>
                <c:pt idx="1">
                  <c:v>303.55731225296279</c:v>
                </c:pt>
                <c:pt idx="2">
                  <c:v>263.2411067193666</c:v>
                </c:pt>
                <c:pt idx="3">
                  <c:v>291.6996047430822</c:v>
                </c:pt>
                <c:pt idx="4">
                  <c:v>211.06719367588801</c:v>
                </c:pt>
                <c:pt idx="5">
                  <c:v>208.69565217391261</c:v>
                </c:pt>
                <c:pt idx="6">
                  <c:v>220.55335968379319</c:v>
                </c:pt>
                <c:pt idx="7">
                  <c:v>244.26877470355618</c:v>
                </c:pt>
                <c:pt idx="8">
                  <c:v>234.78260869565102</c:v>
                </c:pt>
                <c:pt idx="9">
                  <c:v>253.75494071146142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0-4B8E-B48A-762D3F12D671}"/>
            </c:ext>
          </c:extLst>
        </c:ser>
        <c:ser>
          <c:idx val="1"/>
          <c:order val="1"/>
          <c:tx>
            <c:strRef>
              <c:f>不同规格光模块的销售额与出货量!$M$4</c:f>
              <c:strCache>
                <c:ptCount val="1"/>
                <c:pt idx="0">
                  <c:v>200G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不同规格光模块的销售额与出货量!$N$2:$W$2</c:f>
              <c:strCache>
                <c:ptCount val="10"/>
                <c:pt idx="0">
                  <c:v>23Q1</c:v>
                </c:pt>
                <c:pt idx="1">
                  <c:v>23Q2</c:v>
                </c:pt>
                <c:pt idx="2">
                  <c:v>23Q3</c:v>
                </c:pt>
                <c:pt idx="3">
                  <c:v>23Q4</c:v>
                </c:pt>
                <c:pt idx="4">
                  <c:v>24Q1</c:v>
                </c:pt>
                <c:pt idx="5">
                  <c:v>24Q2</c:v>
                </c:pt>
                <c:pt idx="6">
                  <c:v>24Q3</c:v>
                </c:pt>
                <c:pt idx="7">
                  <c:v>24Q4</c:v>
                </c:pt>
                <c:pt idx="8">
                  <c:v>25Q1E</c:v>
                </c:pt>
                <c:pt idx="9">
                  <c:v>25Q2E</c:v>
                </c:pt>
              </c:strCache>
            </c:strRef>
          </c:cat>
          <c:val>
            <c:numRef>
              <c:f>不同规格光模块的销售额与出货量!$N$4:$W$4</c:f>
              <c:numCache>
                <c:formatCode>General</c:formatCode>
                <c:ptCount val="10"/>
                <c:pt idx="0">
                  <c:v>218.18181818181779</c:v>
                </c:pt>
                <c:pt idx="1">
                  <c:v>196.8379446640302</c:v>
                </c:pt>
                <c:pt idx="2">
                  <c:v>144.66403162055303</c:v>
                </c:pt>
                <c:pt idx="3">
                  <c:v>104.3478260869563</c:v>
                </c:pt>
                <c:pt idx="4">
                  <c:v>128.06324110671929</c:v>
                </c:pt>
                <c:pt idx="5">
                  <c:v>144.66403162055303</c:v>
                </c:pt>
                <c:pt idx="6">
                  <c:v>199.20948616600739</c:v>
                </c:pt>
                <c:pt idx="7">
                  <c:v>218.18181818181779</c:v>
                </c:pt>
                <c:pt idx="8">
                  <c:v>177.86561264822123</c:v>
                </c:pt>
                <c:pt idx="9">
                  <c:v>161.26482213438715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0-4B8E-B48A-762D3F12D671}"/>
            </c:ext>
          </c:extLst>
        </c:ser>
        <c:ser>
          <c:idx val="2"/>
          <c:order val="2"/>
          <c:tx>
            <c:strRef>
              <c:f>不同规格光模块的销售额与出货量!$M$5</c:f>
              <c:strCache>
                <c:ptCount val="1"/>
                <c:pt idx="0">
                  <c:v>400G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不同规格光模块的销售额与出货量!$N$2:$W$2</c:f>
              <c:strCache>
                <c:ptCount val="10"/>
                <c:pt idx="0">
                  <c:v>23Q1</c:v>
                </c:pt>
                <c:pt idx="1">
                  <c:v>23Q2</c:v>
                </c:pt>
                <c:pt idx="2">
                  <c:v>23Q3</c:v>
                </c:pt>
                <c:pt idx="3">
                  <c:v>23Q4</c:v>
                </c:pt>
                <c:pt idx="4">
                  <c:v>24Q1</c:v>
                </c:pt>
                <c:pt idx="5">
                  <c:v>24Q2</c:v>
                </c:pt>
                <c:pt idx="6">
                  <c:v>24Q3</c:v>
                </c:pt>
                <c:pt idx="7">
                  <c:v>24Q4</c:v>
                </c:pt>
                <c:pt idx="8">
                  <c:v>25Q1E</c:v>
                </c:pt>
                <c:pt idx="9">
                  <c:v>25Q2E</c:v>
                </c:pt>
              </c:strCache>
            </c:strRef>
          </c:cat>
          <c:val>
            <c:numRef>
              <c:f>不同规格光模块的销售额与出货量!$N$5:$W$5</c:f>
              <c:numCache>
                <c:formatCode>General</c:formatCode>
                <c:ptCount val="10"/>
                <c:pt idx="0">
                  <c:v>317.78656126482059</c:v>
                </c:pt>
                <c:pt idx="1">
                  <c:v>400.79051383399201</c:v>
                </c:pt>
                <c:pt idx="2">
                  <c:v>486.16600790513695</c:v>
                </c:pt>
                <c:pt idx="3">
                  <c:v>588.14229249011703</c:v>
                </c:pt>
                <c:pt idx="4">
                  <c:v>749.40711462450543</c:v>
                </c:pt>
                <c:pt idx="5">
                  <c:v>1043.4782608695648</c:v>
                </c:pt>
                <c:pt idx="6">
                  <c:v>1430.0395256916991</c:v>
                </c:pt>
                <c:pt idx="7">
                  <c:v>1643.4782608695641</c:v>
                </c:pt>
                <c:pt idx="8">
                  <c:v>1600.7905138339909</c:v>
                </c:pt>
                <c:pt idx="9">
                  <c:v>1441.8972332015796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E0-4B8E-B48A-762D3F12D671}"/>
            </c:ext>
          </c:extLst>
        </c:ser>
        <c:ser>
          <c:idx val="3"/>
          <c:order val="3"/>
          <c:tx>
            <c:strRef>
              <c:f>不同规格光模块的销售额与出货量!$M$6</c:f>
              <c:strCache>
                <c:ptCount val="1"/>
                <c:pt idx="0">
                  <c:v>800G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不同规格光模块的销售额与出货量!$N$2:$W$2</c:f>
              <c:strCache>
                <c:ptCount val="10"/>
                <c:pt idx="0">
                  <c:v>23Q1</c:v>
                </c:pt>
                <c:pt idx="1">
                  <c:v>23Q2</c:v>
                </c:pt>
                <c:pt idx="2">
                  <c:v>23Q3</c:v>
                </c:pt>
                <c:pt idx="3">
                  <c:v>23Q4</c:v>
                </c:pt>
                <c:pt idx="4">
                  <c:v>24Q1</c:v>
                </c:pt>
                <c:pt idx="5">
                  <c:v>24Q2</c:v>
                </c:pt>
                <c:pt idx="6">
                  <c:v>24Q3</c:v>
                </c:pt>
                <c:pt idx="7">
                  <c:v>24Q4</c:v>
                </c:pt>
                <c:pt idx="8">
                  <c:v>25Q1E</c:v>
                </c:pt>
                <c:pt idx="9">
                  <c:v>25Q2E</c:v>
                </c:pt>
              </c:strCache>
            </c:strRef>
          </c:cat>
          <c:val>
            <c:numRef>
              <c:f>不同规格光模块的销售额与出货量!$N$6:$W$6</c:f>
              <c:numCache>
                <c:formatCode>General</c:formatCode>
                <c:ptCount val="10"/>
                <c:pt idx="0">
                  <c:v>54.545454545454362</c:v>
                </c:pt>
                <c:pt idx="1">
                  <c:v>132.80632411067171</c:v>
                </c:pt>
                <c:pt idx="2">
                  <c:v>327.27272727272577</c:v>
                </c:pt>
                <c:pt idx="3">
                  <c:v>557.31225296442597</c:v>
                </c:pt>
                <c:pt idx="4">
                  <c:v>875.09881422924832</c:v>
                </c:pt>
                <c:pt idx="5">
                  <c:v>927.27272727272702</c:v>
                </c:pt>
                <c:pt idx="6">
                  <c:v>969.96047430830038</c:v>
                </c:pt>
                <c:pt idx="7">
                  <c:v>1012.648221343872</c:v>
                </c:pt>
                <c:pt idx="8">
                  <c:v>1124.1106719367572</c:v>
                </c:pt>
                <c:pt idx="9">
                  <c:v>1278.2608695652159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E0-4B8E-B48A-762D3F12D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323840"/>
        <c:axId val="446320000"/>
      </c:barChart>
      <c:catAx>
        <c:axId val="4463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6320000"/>
        <c:crosses val="autoZero"/>
        <c:auto val="1"/>
        <c:lblAlgn val="ctr"/>
        <c:lblOffset val="100"/>
        <c:noMultiLvlLbl val="0"/>
      </c:catAx>
      <c:valAx>
        <c:axId val="4463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63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'P21 ASIC份额'!$X$10</c:f>
              <c:strCache>
                <c:ptCount val="1"/>
                <c:pt idx="0">
                  <c:v>出货量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C7-41AA-AD5B-A00DCB9041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C7-41AA-AD5B-A00DCB9041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C7-41AA-AD5B-A00DCB904158}"/>
              </c:ext>
            </c:extLst>
          </c:dPt>
          <c:cat>
            <c:strRef>
              <c:f>'P21 ASIC份额'!$W$11:$W$13</c:f>
              <c:strCache>
                <c:ptCount val="3"/>
                <c:pt idx="0">
                  <c:v>Amazon</c:v>
                </c:pt>
                <c:pt idx="1">
                  <c:v>Google</c:v>
                </c:pt>
                <c:pt idx="2">
                  <c:v>Meta</c:v>
                </c:pt>
              </c:strCache>
            </c:strRef>
          </c:cat>
          <c:val>
            <c:numRef>
              <c:f>'P21 ASIC份额'!$X$11:$X$13</c:f>
              <c:numCache>
                <c:formatCode>General</c:formatCode>
                <c:ptCount val="3"/>
                <c:pt idx="0">
                  <c:v>150</c:v>
                </c:pt>
                <c:pt idx="1">
                  <c:v>250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8-4BBE-8E8D-2970260FC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79-41E8-B32D-9BAAA9B178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79-41E8-B32D-9BAAA9B178B2}"/>
              </c:ext>
            </c:extLst>
          </c:dPt>
          <c:cat>
            <c:strRef>
              <c:f>Ficontec!$A$2:$A$3</c:f>
              <c:strCache>
                <c:ptCount val="2"/>
                <c:pt idx="0">
                  <c:v>微组装</c:v>
                </c:pt>
                <c:pt idx="1">
                  <c:v>自动化测试</c:v>
                </c:pt>
              </c:strCache>
            </c:strRef>
          </c:cat>
          <c:val>
            <c:numRef>
              <c:f>Ficontec!$B$2:$B$3</c:f>
              <c:numCache>
                <c:formatCode>0.00%</c:formatCode>
                <c:ptCount val="2"/>
                <c:pt idx="0">
                  <c:v>0.78290000000000004</c:v>
                </c:pt>
                <c:pt idx="1">
                  <c:v>0.21709999999999996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B-4E37-B302-7E84DAEF0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Ficontec!$E$8</c:f>
              <c:strCache>
                <c:ptCount val="1"/>
                <c:pt idx="0">
                  <c:v>Revenue (left)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Ficontec!$F$7:$H$7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Ficontec!$F$8:$H$8</c:f>
              <c:numCache>
                <c:formatCode>_(* #,##0.00_);_(* \(#,##0.00\);_(* "-"??_);_(@_)</c:formatCode>
                <c:ptCount val="3"/>
                <c:pt idx="0">
                  <c:v>2.87</c:v>
                </c:pt>
                <c:pt idx="1">
                  <c:v>3.8243999999999998</c:v>
                </c:pt>
                <c:pt idx="2">
                  <c:v>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F-4F93-BD40-B7BCF3968C2A}"/>
            </c:ext>
          </c:extLst>
        </c:ser>
        <c:ser>
          <c:idx val="2"/>
          <c:order val="2"/>
          <c:tx>
            <c:strRef>
              <c:f>Ficontec!$E$10</c:f>
              <c:strCache>
                <c:ptCount val="1"/>
                <c:pt idx="0">
                  <c:v>Net profit (left)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4385264092321351E-3"/>
                  <c:y val="2.3148148148148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A2-4B82-9031-C5FC6B04EF4F}"/>
                </c:ext>
              </c:extLst>
            </c:dLbl>
            <c:dLbl>
              <c:idx val="2"/>
              <c:layout>
                <c:manualLayout>
                  <c:x val="6.4358632933865789E-2"/>
                  <c:y val="6.0185549722951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A2-4B82-9031-C5FC6B04EF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Ficontec!$F$7:$H$7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Ficontec!$F$10:$H$10</c:f>
              <c:numCache>
                <c:formatCode>_(* #,##0.00_);_(* \(#,##0.00\);_(* "-"??_);_(@_)</c:formatCode>
                <c:ptCount val="3"/>
                <c:pt idx="0">
                  <c:v>-6.3E-3</c:v>
                </c:pt>
                <c:pt idx="1">
                  <c:v>0.28999999999999998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F-4F93-BD40-B7BCF3968C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79053040"/>
        <c:axId val="279052080"/>
      </c:barChart>
      <c:lineChart>
        <c:grouping val="standard"/>
        <c:varyColors val="0"/>
        <c:ser>
          <c:idx val="1"/>
          <c:order val="1"/>
          <c:tx>
            <c:strRef>
              <c:f>Ficontec!$E$9</c:f>
              <c:strCache>
                <c:ptCount val="1"/>
                <c:pt idx="0">
                  <c:v>Gross margin (right)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Ficontec!$F$7:$H$7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Ficontec!$F$9:$H$9</c:f>
              <c:numCache>
                <c:formatCode>0.0%</c:formatCode>
                <c:ptCount val="3"/>
                <c:pt idx="0">
                  <c:v>0.4163</c:v>
                </c:pt>
                <c:pt idx="1">
                  <c:v>0.41620000000000001</c:v>
                </c:pt>
                <c:pt idx="2">
                  <c:v>0.401980198019802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7F-4F93-BD40-B7BCF3968C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8411808"/>
        <c:axId val="2098409408"/>
      </c:lineChart>
      <c:catAx>
        <c:axId val="27905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9052080"/>
        <c:crosses val="autoZero"/>
        <c:auto val="1"/>
        <c:lblAlgn val="ctr"/>
        <c:lblOffset val="100"/>
        <c:noMultiLvlLbl val="0"/>
      </c:catAx>
      <c:valAx>
        <c:axId val="2790520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9053040"/>
        <c:crosses val="autoZero"/>
        <c:crossBetween val="between"/>
      </c:valAx>
      <c:valAx>
        <c:axId val="2098409408"/>
        <c:scaling>
          <c:orientation val="minMax"/>
          <c:max val="0.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8411808"/>
        <c:crosses val="max"/>
        <c:crossBetween val="between"/>
      </c:valAx>
      <c:catAx>
        <c:axId val="2098411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840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41-4337-B955-7FD0BB2F33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41-4337-B955-7FD0BB2F3376}"/>
              </c:ext>
            </c:extLst>
          </c:dPt>
          <c:cat>
            <c:strRef>
              <c:f>Ficontec!$K$2:$K$3</c:f>
              <c:strCache>
                <c:ptCount val="2"/>
                <c:pt idx="0">
                  <c:v>前五大客户</c:v>
                </c:pt>
                <c:pt idx="1">
                  <c:v>其他</c:v>
                </c:pt>
              </c:strCache>
            </c:strRef>
          </c:cat>
          <c:val>
            <c:numRef>
              <c:f>Ficontec!$L$2:$L$3</c:f>
              <c:numCache>
                <c:formatCode>0%</c:formatCode>
                <c:ptCount val="2"/>
                <c:pt idx="0">
                  <c:v>0.42</c:v>
                </c:pt>
                <c:pt idx="1">
                  <c:v>0.58000000000000007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5-4056-BEFA-2C1E2FB6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9F-48A1-BB1B-D8F5DE882B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9F-48A1-BB1B-D8F5DE882B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Ficontec!$O$2:$O$3</c:f>
              <c:strCache>
                <c:ptCount val="2"/>
                <c:pt idx="0">
                  <c:v>Tech Group AS</c:v>
                </c:pt>
                <c:pt idx="1">
                  <c:v>其他</c:v>
                </c:pt>
              </c:strCache>
            </c:strRef>
          </c:cat>
          <c:val>
            <c:numRef>
              <c:f>Ficontec!$P$2:$P$3</c:f>
              <c:numCache>
                <c:formatCode>0%</c:formatCode>
                <c:ptCount val="2"/>
                <c:pt idx="0">
                  <c:v>0.38</c:v>
                </c:pt>
                <c:pt idx="1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4-49DB-BF64-CAB6404C9F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3.xm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20.png"/><Relationship Id="rId7" Type="http://schemas.openxmlformats.org/officeDocument/2006/relationships/image" Target="../media/image23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2.png"/><Relationship Id="rId5" Type="http://schemas.openxmlformats.org/officeDocument/2006/relationships/image" Target="../media/image21.jpeg"/><Relationship Id="rId4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7" Type="http://schemas.openxmlformats.org/officeDocument/2006/relationships/image" Target="../media/image38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jpeg"/><Relationship Id="rId4" Type="http://schemas.openxmlformats.org/officeDocument/2006/relationships/image" Target="../media/image35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44.png"/><Relationship Id="rId5" Type="http://schemas.openxmlformats.org/officeDocument/2006/relationships/image" Target="../media/image43.png"/><Relationship Id="rId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7" Type="http://schemas.openxmlformats.org/officeDocument/2006/relationships/image" Target="../media/image38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jpeg"/><Relationship Id="rId4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114301</xdr:rowOff>
    </xdr:from>
    <xdr:to>
      <xdr:col>13</xdr:col>
      <xdr:colOff>439551</xdr:colOff>
      <xdr:row>30</xdr:row>
      <xdr:rowOff>160019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B56EF57-8343-966A-A545-34C698B8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1987"/>
          <a:ext cx="9142680" cy="4352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649620</xdr:colOff>
      <xdr:row>8</xdr:row>
      <xdr:rowOff>9286</xdr:rowOff>
    </xdr:from>
    <xdr:to>
      <xdr:col>20</xdr:col>
      <xdr:colOff>515149</xdr:colOff>
      <xdr:row>23</xdr:row>
      <xdr:rowOff>63393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58C7BF0-64AE-6ABF-6B33-4DCF0F223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141514</xdr:colOff>
      <xdr:row>5</xdr:row>
      <xdr:rowOff>152401</xdr:rowOff>
    </xdr:from>
    <xdr:to>
      <xdr:col>34</xdr:col>
      <xdr:colOff>620486</xdr:colOff>
      <xdr:row>29</xdr:row>
      <xdr:rowOff>75657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B627BC9-63A9-5C79-B2F9-413CE9AC7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69885" y="1050472"/>
          <a:ext cx="10270672" cy="4233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182880</xdr:colOff>
      <xdr:row>29</xdr:row>
      <xdr:rowOff>91440</xdr:rowOff>
    </xdr:from>
    <xdr:to>
      <xdr:col>35</xdr:col>
      <xdr:colOff>398904</xdr:colOff>
      <xdr:row>67</xdr:row>
      <xdr:rowOff>16750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193F35E-1C47-3B34-FD64-B01C5A4B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64640" y="5394960"/>
          <a:ext cx="11356464" cy="7636750"/>
        </a:xfrm>
        <a:prstGeom prst="rect">
          <a:avLst/>
        </a:prstGeom>
      </xdr:spPr>
    </xdr:pic>
    <xdr:clientData/>
  </xdr:twoCellAnchor>
  <xdr:twoCellAnchor editAs="oneCell">
    <xdr:from>
      <xdr:col>49</xdr:col>
      <xdr:colOff>654231</xdr:colOff>
      <xdr:row>0</xdr:row>
      <xdr:rowOff>0</xdr:rowOff>
    </xdr:from>
    <xdr:to>
      <xdr:col>73</xdr:col>
      <xdr:colOff>480863</xdr:colOff>
      <xdr:row>63</xdr:row>
      <xdr:rowOff>139066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17C86D0-F989-BDA0-AE4D-A24A6A4DC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879711" y="0"/>
          <a:ext cx="15920072" cy="12422506"/>
        </a:xfrm>
        <a:prstGeom prst="rect">
          <a:avLst/>
        </a:prstGeom>
      </xdr:spPr>
    </xdr:pic>
    <xdr:clientData/>
  </xdr:twoCellAnchor>
  <xdr:twoCellAnchor>
    <xdr:from>
      <xdr:col>10</xdr:col>
      <xdr:colOff>549162</xdr:colOff>
      <xdr:row>41</xdr:row>
      <xdr:rowOff>47119</xdr:rowOff>
    </xdr:from>
    <xdr:to>
      <xdr:col>18</xdr:col>
      <xdr:colOff>147320</xdr:colOff>
      <xdr:row>57</xdr:row>
      <xdr:rowOff>133933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A116E20-9DED-4019-B355-B0089C1C2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0</xdr:colOff>
      <xdr:row>61</xdr:row>
      <xdr:rowOff>137160</xdr:rowOff>
    </xdr:from>
    <xdr:ext cx="10320767" cy="4708281"/>
    <xdr:pic>
      <xdr:nvPicPr>
        <xdr:cNvPr id="8" name="图片 7">
          <a:extLst>
            <a:ext uri="{FF2B5EF4-FFF2-40B4-BE49-F238E27FC236}">
              <a16:creationId xmlns:a16="http://schemas.microsoft.com/office/drawing/2014/main" id="{2863048C-39E6-4E2C-8443-4B32FC6B8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54840"/>
          <a:ext cx="10320767" cy="4708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108041</xdr:rowOff>
    </xdr:from>
    <xdr:ext cx="10322037" cy="5908451"/>
    <xdr:pic>
      <xdr:nvPicPr>
        <xdr:cNvPr id="9" name="图片 8">
          <a:extLst>
            <a:ext uri="{FF2B5EF4-FFF2-40B4-BE49-F238E27FC236}">
              <a16:creationId xmlns:a16="http://schemas.microsoft.com/office/drawing/2014/main" id="{43C8EB47-5A10-4477-B3DB-6ECCA3FA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80601"/>
          <a:ext cx="10322037" cy="590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119</xdr:row>
      <xdr:rowOff>50775</xdr:rowOff>
    </xdr:from>
    <xdr:ext cx="10322037" cy="4777673"/>
    <xdr:pic>
      <xdr:nvPicPr>
        <xdr:cNvPr id="10" name="图片 9">
          <a:extLst>
            <a:ext uri="{FF2B5EF4-FFF2-40B4-BE49-F238E27FC236}">
              <a16:creationId xmlns:a16="http://schemas.microsoft.com/office/drawing/2014/main" id="{AC708B00-C5BD-449F-93D4-3D095DEB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75495"/>
          <a:ext cx="10322037" cy="477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55</xdr:row>
      <xdr:rowOff>81642</xdr:rowOff>
    </xdr:from>
    <xdr:ext cx="7067169" cy="7444376"/>
    <xdr:pic>
      <xdr:nvPicPr>
        <xdr:cNvPr id="11" name="图片 10">
          <a:extLst>
            <a:ext uri="{FF2B5EF4-FFF2-40B4-BE49-F238E27FC236}">
              <a16:creationId xmlns:a16="http://schemas.microsoft.com/office/drawing/2014/main" id="{081D2459-7D16-4417-BE69-4AAF63E00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4177392"/>
          <a:ext cx="7067169" cy="7444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31537</xdr:colOff>
      <xdr:row>41</xdr:row>
      <xdr:rowOff>59951</xdr:rowOff>
    </xdr:from>
    <xdr:to>
      <xdr:col>44</xdr:col>
      <xdr:colOff>62833</xdr:colOff>
      <xdr:row>54</xdr:row>
      <xdr:rowOff>7204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5B683090-47D5-43C4-8450-22789FB8C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4483</xdr:colOff>
      <xdr:row>11</xdr:row>
      <xdr:rowOff>76201</xdr:rowOff>
    </xdr:from>
    <xdr:to>
      <xdr:col>11</xdr:col>
      <xdr:colOff>73063</xdr:colOff>
      <xdr:row>26</xdr:row>
      <xdr:rowOff>88901</xdr:rowOff>
    </xdr:to>
    <xdr:pic>
      <xdr:nvPicPr>
        <xdr:cNvPr id="2" name="图片 1" descr="image-20250717233056469">
          <a:extLst>
            <a:ext uri="{FF2B5EF4-FFF2-40B4-BE49-F238E27FC236}">
              <a16:creationId xmlns:a16="http://schemas.microsoft.com/office/drawing/2014/main" id="{1BE33B33-EE14-A163-75E7-358419EFB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3" y="2048436"/>
          <a:ext cx="10315239" cy="2702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32</xdr:col>
      <xdr:colOff>228601</xdr:colOff>
      <xdr:row>36</xdr:row>
      <xdr:rowOff>25400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8B0C4BD-1CBB-AC74-8C12-165E57F8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5940" y="1432560"/>
          <a:ext cx="10287000" cy="504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5</xdr:row>
      <xdr:rowOff>146685</xdr:rowOff>
    </xdr:from>
    <xdr:to>
      <xdr:col>12</xdr:col>
      <xdr:colOff>468630</xdr:colOff>
      <xdr:row>17</xdr:row>
      <xdr:rowOff>131445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9D9AFDD-7C1F-430F-ADBC-44E27BFAB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636270</xdr:colOff>
      <xdr:row>7</xdr:row>
      <xdr:rowOff>137160</xdr:rowOff>
    </xdr:from>
    <xdr:to>
      <xdr:col>10</xdr:col>
      <xdr:colOff>404918</xdr:colOff>
      <xdr:row>21</xdr:row>
      <xdr:rowOff>148359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85D78E5-1E65-C4F6-E7CB-6E610346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0190" y="1390650"/>
          <a:ext cx="3620558" cy="25181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98611</xdr:rowOff>
    </xdr:from>
    <xdr:to>
      <xdr:col>11</xdr:col>
      <xdr:colOff>356754</xdr:colOff>
      <xdr:row>23</xdr:row>
      <xdr:rowOff>70404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76544B-1409-2189-1D99-6D5328733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905"/>
          <a:ext cx="7751366" cy="39188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4</xdr:row>
      <xdr:rowOff>1528445</xdr:rowOff>
    </xdr:from>
    <xdr:to>
      <xdr:col>15</xdr:col>
      <xdr:colOff>113030</xdr:colOff>
      <xdr:row>16</xdr:row>
      <xdr:rowOff>156845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478251-59F3-6BDF-036B-668DEB872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482600</xdr:colOff>
      <xdr:row>4</xdr:row>
      <xdr:rowOff>1499235</xdr:rowOff>
    </xdr:from>
    <xdr:to>
      <xdr:col>22</xdr:col>
      <xdr:colOff>344170</xdr:colOff>
      <xdr:row>16</xdr:row>
      <xdr:rowOff>125095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4FC5A5D-A006-9915-6EB3-0329B85FE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520700</xdr:colOff>
      <xdr:row>4</xdr:row>
      <xdr:rowOff>1473835</xdr:rowOff>
    </xdr:from>
    <xdr:to>
      <xdr:col>29</xdr:col>
      <xdr:colOff>382270</xdr:colOff>
      <xdr:row>16</xdr:row>
      <xdr:rowOff>99695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069B0A9-EF68-7E60-578B-A089273C6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522515</xdr:colOff>
      <xdr:row>1</xdr:row>
      <xdr:rowOff>32657</xdr:rowOff>
    </xdr:from>
    <xdr:to>
      <xdr:col>15</xdr:col>
      <xdr:colOff>659722</xdr:colOff>
      <xdr:row>28</xdr:row>
      <xdr:rowOff>170958</xdr:rowOff>
    </xdr:to>
    <xdr:pic>
      <xdr:nvPicPr>
        <xdr:cNvPr id="2" name="Picture 6" descr="硅光模块结构示意图">
          <a:extLst>
            <a:ext uri="{FF2B5EF4-FFF2-40B4-BE49-F238E27FC236}">
              <a16:creationId xmlns:a16="http://schemas.microsoft.com/office/drawing/2014/main" id="{ED1DE482-0CD6-13FD-21D3-0347422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515" y="212271"/>
          <a:ext cx="10179278" cy="4987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471714</xdr:colOff>
      <xdr:row>7</xdr:row>
      <xdr:rowOff>644070</xdr:rowOff>
    </xdr:from>
    <xdr:to>
      <xdr:col>47</xdr:col>
      <xdr:colOff>457711</xdr:colOff>
      <xdr:row>17</xdr:row>
      <xdr:rowOff>241843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644008-E60F-A838-FC80-2D894634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0" y="6667499"/>
          <a:ext cx="9597390" cy="4721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435428</xdr:colOff>
      <xdr:row>3</xdr:row>
      <xdr:rowOff>399142</xdr:rowOff>
    </xdr:from>
    <xdr:to>
      <xdr:col>48</xdr:col>
      <xdr:colOff>431238</xdr:colOff>
      <xdr:row>7</xdr:row>
      <xdr:rowOff>570864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B89012-1786-65F5-7C94-022357C0A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1714" y="2911928"/>
          <a:ext cx="10285730" cy="3682365"/>
        </a:xfrm>
        <a:prstGeom prst="rect">
          <a:avLst/>
        </a:prstGeom>
      </xdr:spPr>
    </xdr:pic>
    <xdr:clientData/>
  </xdr:twoCellAnchor>
  <xdr:twoCellAnchor editAs="oneCell">
    <xdr:from>
      <xdr:col>55</xdr:col>
      <xdr:colOff>11611</xdr:colOff>
      <xdr:row>5</xdr:row>
      <xdr:rowOff>493091</xdr:rowOff>
    </xdr:from>
    <xdr:to>
      <xdr:col>67</xdr:col>
      <xdr:colOff>513262</xdr:colOff>
      <xdr:row>19</xdr:row>
      <xdr:rowOff>459015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DBAADA1-90BF-BC5F-AA56-68FA21F8B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39520" y="5630818"/>
          <a:ext cx="8537287" cy="733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</xdr:row>
      <xdr:rowOff>0</xdr:rowOff>
    </xdr:from>
    <xdr:to>
      <xdr:col>78</xdr:col>
      <xdr:colOff>506731</xdr:colOff>
      <xdr:row>12</xdr:row>
      <xdr:rowOff>64770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BAC5AD7-BC37-D1F0-FBB9-A539BCDB1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22030" y="2514600"/>
          <a:ext cx="6545580" cy="672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133350</xdr:rowOff>
    </xdr:from>
    <xdr:to>
      <xdr:col>5</xdr:col>
      <xdr:colOff>247498</xdr:colOff>
      <xdr:row>28</xdr:row>
      <xdr:rowOff>100330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A7325A1-8FC6-FAE7-4AC5-DF0065EB8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0"/>
          <a:ext cx="7417918" cy="481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5522</xdr:colOff>
      <xdr:row>32</xdr:row>
      <xdr:rowOff>85366</xdr:rowOff>
    </xdr:from>
    <xdr:ext cx="9453333" cy="3532063"/>
    <xdr:pic>
      <xdr:nvPicPr>
        <xdr:cNvPr id="3" name="图片 2">
          <a:extLst>
            <a:ext uri="{FF2B5EF4-FFF2-40B4-BE49-F238E27FC236}">
              <a16:creationId xmlns:a16="http://schemas.microsoft.com/office/drawing/2014/main" id="{DC16A4E0-E883-447C-A6DA-01617708A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2" y="4884696"/>
          <a:ext cx="9453333" cy="3532063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55</xdr:row>
      <xdr:rowOff>62560</xdr:rowOff>
    </xdr:from>
    <xdr:ext cx="9489524" cy="3306032"/>
    <xdr:pic>
      <xdr:nvPicPr>
        <xdr:cNvPr id="4" name="图片 3">
          <a:extLst>
            <a:ext uri="{FF2B5EF4-FFF2-40B4-BE49-F238E27FC236}">
              <a16:creationId xmlns:a16="http://schemas.microsoft.com/office/drawing/2014/main" id="{9D46C369-C809-4AC7-A7BE-35CE20E9B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" y="11389690"/>
          <a:ext cx="9489524" cy="3306032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91</xdr:row>
      <xdr:rowOff>127635</xdr:rowOff>
    </xdr:from>
    <xdr:to>
      <xdr:col>6</xdr:col>
      <xdr:colOff>548640</xdr:colOff>
      <xdr:row>107</xdr:row>
      <xdr:rowOff>5715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7C261AF-0F04-4CEC-A8DA-E1F7FD5B5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10</xdr:col>
      <xdr:colOff>219709</xdr:colOff>
      <xdr:row>96</xdr:row>
      <xdr:rowOff>72006</xdr:rowOff>
    </xdr:from>
    <xdr:ext cx="3847185" cy="3796690"/>
    <xdr:pic>
      <xdr:nvPicPr>
        <xdr:cNvPr id="6" name="图片 5">
          <a:extLst>
            <a:ext uri="{FF2B5EF4-FFF2-40B4-BE49-F238E27FC236}">
              <a16:creationId xmlns:a16="http://schemas.microsoft.com/office/drawing/2014/main" id="{003A8ACD-CEC7-4B83-A98D-3F1889A3C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6231" y="17824397"/>
          <a:ext cx="3847185" cy="3796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138</xdr:row>
      <xdr:rowOff>98515</xdr:rowOff>
    </xdr:from>
    <xdr:to>
      <xdr:col>6</xdr:col>
      <xdr:colOff>463030</xdr:colOff>
      <xdr:row>163</xdr:row>
      <xdr:rowOff>31840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6A144A4-C818-7E6A-5B74-D3D1BA66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897658"/>
          <a:ext cx="8297660" cy="4472849"/>
        </a:xfrm>
        <a:prstGeom prst="rect">
          <a:avLst/>
        </a:prstGeom>
      </xdr:spPr>
    </xdr:pic>
    <xdr:clientData/>
  </xdr:twoCellAnchor>
  <xdr:twoCellAnchor editAs="oneCell">
    <xdr:from>
      <xdr:col>10</xdr:col>
      <xdr:colOff>863057</xdr:colOff>
      <xdr:row>139</xdr:row>
      <xdr:rowOff>75468</xdr:rowOff>
    </xdr:from>
    <xdr:to>
      <xdr:col>13</xdr:col>
      <xdr:colOff>387666</xdr:colOff>
      <xdr:row>163</xdr:row>
      <xdr:rowOff>57213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CBD895A-753C-FC91-DC06-0619635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19557" y="26056039"/>
          <a:ext cx="6711586" cy="43360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12</xdr:col>
      <xdr:colOff>1524470</xdr:colOff>
      <xdr:row>81</xdr:row>
      <xdr:rowOff>83961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D65DADE0-AF71-B472-3F7C-31E686174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26625" y="10414000"/>
          <a:ext cx="7493000" cy="46229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133350</xdr:rowOff>
    </xdr:from>
    <xdr:to>
      <xdr:col>9</xdr:col>
      <xdr:colOff>298414</xdr:colOff>
      <xdr:row>41</xdr:row>
      <xdr:rowOff>52069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EE837C5-CD48-7BC2-82E9-176C49C3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00550"/>
          <a:ext cx="7137364" cy="29400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7</xdr:row>
      <xdr:rowOff>32385</xdr:rowOff>
    </xdr:from>
    <xdr:to>
      <xdr:col>18</xdr:col>
      <xdr:colOff>579120</xdr:colOff>
      <xdr:row>22</xdr:row>
      <xdr:rowOff>89535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A3233E5-057F-4DDE-D694-EE70DDE6C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327212</xdr:colOff>
      <xdr:row>7</xdr:row>
      <xdr:rowOff>22412</xdr:rowOff>
    </xdr:from>
    <xdr:to>
      <xdr:col>35</xdr:col>
      <xdr:colOff>508822</xdr:colOff>
      <xdr:row>16</xdr:row>
      <xdr:rowOff>70000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BE916EA-2C1A-2D34-6AE8-4AE7CF82F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3683" y="1277471"/>
          <a:ext cx="7574952" cy="4787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11545</xdr:colOff>
      <xdr:row>28</xdr:row>
      <xdr:rowOff>115455</xdr:rowOff>
    </xdr:from>
    <xdr:to>
      <xdr:col>25</xdr:col>
      <xdr:colOff>280240</xdr:colOff>
      <xdr:row>70</xdr:row>
      <xdr:rowOff>64676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2A6798D-8E26-12F2-647C-232CC22AC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7181" y="11499273"/>
          <a:ext cx="8971428" cy="72215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152401</xdr:rowOff>
    </xdr:from>
    <xdr:to>
      <xdr:col>8</xdr:col>
      <xdr:colOff>663120</xdr:colOff>
      <xdr:row>20</xdr:row>
      <xdr:rowOff>55037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D745D81-FD84-F3EC-264C-0BB2AFF4B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1305"/>
          <a:ext cx="6016998" cy="330181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619125</xdr:colOff>
      <xdr:row>35</xdr:row>
      <xdr:rowOff>101108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A5E0E11-91C0-6B83-6CAB-79A9C37F4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361950"/>
          <a:ext cx="6619875" cy="607328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34</xdr:col>
      <xdr:colOff>365760</xdr:colOff>
      <xdr:row>45</xdr:row>
      <xdr:rowOff>181605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5270BB7-036D-C527-225F-A244B803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81760" y="182880"/>
          <a:ext cx="9083040" cy="82283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4</xdr:col>
      <xdr:colOff>1706880</xdr:colOff>
      <xdr:row>48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2CA056D-ED14-2637-44DB-2BD09C73B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88360"/>
          <a:ext cx="10287000" cy="620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102242</xdr:rowOff>
    </xdr:from>
    <xdr:to>
      <xdr:col>10</xdr:col>
      <xdr:colOff>158974</xdr:colOff>
      <xdr:row>24</xdr:row>
      <xdr:rowOff>125730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7416712-3659-2CFE-0E4A-96555E57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042"/>
          <a:ext cx="7513320" cy="41141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102032</xdr:rowOff>
    </xdr:from>
    <xdr:to>
      <xdr:col>7</xdr:col>
      <xdr:colOff>617445</xdr:colOff>
      <xdr:row>50</xdr:row>
      <xdr:rowOff>13970</xdr:rowOff>
    </xdr:to>
    <xdr:pic>
      <xdr:nvPicPr>
        <xdr:cNvPr id="3" name="图片 2" descr="图片">
          <a:extLst>
            <a:ext uri="{FF2B5EF4-FFF2-40B4-BE49-F238E27FC236}">
              <a16:creationId xmlns:a16="http://schemas.microsoft.com/office/drawing/2014/main" id="{14451691-BC28-FCA5-9763-6E7627F0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8232"/>
          <a:ext cx="5948680" cy="3643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52295</xdr:rowOff>
    </xdr:from>
    <xdr:to>
      <xdr:col>7</xdr:col>
      <xdr:colOff>633801</xdr:colOff>
      <xdr:row>70</xdr:row>
      <xdr:rowOff>120427</xdr:rowOff>
    </xdr:to>
    <xdr:pic>
      <xdr:nvPicPr>
        <xdr:cNvPr id="4" name="图片 3" descr="图片">
          <a:extLst>
            <a:ext uri="{FF2B5EF4-FFF2-40B4-BE49-F238E27FC236}">
              <a16:creationId xmlns:a16="http://schemas.microsoft.com/office/drawing/2014/main" id="{8A8BD4D3-39AA-9C05-61F8-F5750D83E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7001"/>
          <a:ext cx="5962870" cy="3656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610871</xdr:colOff>
      <xdr:row>29</xdr:row>
      <xdr:rowOff>120650</xdr:rowOff>
    </xdr:from>
    <xdr:to>
      <xdr:col>17</xdr:col>
      <xdr:colOff>508245</xdr:colOff>
      <xdr:row>50</xdr:row>
      <xdr:rowOff>43179</xdr:rowOff>
    </xdr:to>
    <xdr:pic>
      <xdr:nvPicPr>
        <xdr:cNvPr id="5" name="图片 4" descr="图片">
          <a:extLst>
            <a:ext uri="{FF2B5EF4-FFF2-40B4-BE49-F238E27FC236}">
              <a16:creationId xmlns:a16="http://schemas.microsoft.com/office/drawing/2014/main" id="{4594B6F9-9414-6AD6-6BC4-F8D155E4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5671" y="5276850"/>
          <a:ext cx="5956545" cy="3658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583976</xdr:colOff>
      <xdr:row>50</xdr:row>
      <xdr:rowOff>69627</xdr:rowOff>
    </xdr:from>
    <xdr:to>
      <xdr:col>17</xdr:col>
      <xdr:colOff>284601</xdr:colOff>
      <xdr:row>70</xdr:row>
      <xdr:rowOff>95250</xdr:rowOff>
    </xdr:to>
    <xdr:pic>
      <xdr:nvPicPr>
        <xdr:cNvPr id="6" name="图片 5" descr="图片">
          <a:extLst>
            <a:ext uri="{FF2B5EF4-FFF2-40B4-BE49-F238E27FC236}">
              <a16:creationId xmlns:a16="http://schemas.microsoft.com/office/drawing/2014/main" id="{58A9EFBF-92B6-7AB0-A2A5-F89605F4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7976" y="8800877"/>
          <a:ext cx="5701376" cy="3518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54836</xdr:colOff>
      <xdr:row>2</xdr:row>
      <xdr:rowOff>53564</xdr:rowOff>
    </xdr:from>
    <xdr:to>
      <xdr:col>34</xdr:col>
      <xdr:colOff>656788</xdr:colOff>
      <xdr:row>18</xdr:row>
      <xdr:rowOff>171898</xdr:rowOff>
    </xdr:to>
    <xdr:pic>
      <xdr:nvPicPr>
        <xdr:cNvPr id="7" name="图片 6" descr="图片">
          <a:extLst>
            <a:ext uri="{FF2B5EF4-FFF2-40B4-BE49-F238E27FC236}">
              <a16:creationId xmlns:a16="http://schemas.microsoft.com/office/drawing/2014/main" id="{FE76C8CE-83D1-D82B-1388-BE18F34C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0483" y="412152"/>
          <a:ext cx="5308423" cy="298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41387</xdr:colOff>
      <xdr:row>2</xdr:row>
      <xdr:rowOff>93458</xdr:rowOff>
    </xdr:from>
    <xdr:to>
      <xdr:col>26</xdr:col>
      <xdr:colOff>485639</xdr:colOff>
      <xdr:row>18</xdr:row>
      <xdr:rowOff>138206</xdr:rowOff>
    </xdr:to>
    <xdr:pic>
      <xdr:nvPicPr>
        <xdr:cNvPr id="8" name="图片 7" descr="图片">
          <a:extLst>
            <a:ext uri="{FF2B5EF4-FFF2-40B4-BE49-F238E27FC236}">
              <a16:creationId xmlns:a16="http://schemas.microsoft.com/office/drawing/2014/main" id="{3326471C-2F54-AD98-23BB-2FF503AE8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9363" y="452046"/>
          <a:ext cx="5182100" cy="2913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217170</xdr:colOff>
      <xdr:row>0</xdr:row>
      <xdr:rowOff>0</xdr:rowOff>
    </xdr:from>
    <xdr:to>
      <xdr:col>21</xdr:col>
      <xdr:colOff>385988</xdr:colOff>
      <xdr:row>36</xdr:row>
      <xdr:rowOff>12410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25095B9-A5A7-C0AB-0E1E-4CDC5D4E5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9410" y="0"/>
          <a:ext cx="10895238" cy="8561905"/>
        </a:xfrm>
        <a:prstGeom prst="rect">
          <a:avLst/>
        </a:prstGeom>
      </xdr:spPr>
    </xdr:pic>
    <xdr:clientData/>
  </xdr:twoCellAnchor>
  <xdr:twoCellAnchor editAs="oneCell">
    <xdr:from>
      <xdr:col>39</xdr:col>
      <xdr:colOff>3791</xdr:colOff>
      <xdr:row>36</xdr:row>
      <xdr:rowOff>87819</xdr:rowOff>
    </xdr:from>
    <xdr:to>
      <xdr:col>54</xdr:col>
      <xdr:colOff>68997</xdr:colOff>
      <xdr:row>141</xdr:row>
      <xdr:rowOff>65227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52B0D51-9DBD-0D5C-70B8-09A66208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73373" y="8469819"/>
          <a:ext cx="10299757" cy="18488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639740</xdr:colOff>
      <xdr:row>13</xdr:row>
      <xdr:rowOff>180832</xdr:rowOff>
    </xdr:from>
    <xdr:to>
      <xdr:col>28</xdr:col>
      <xdr:colOff>514635</xdr:colOff>
      <xdr:row>27</xdr:row>
      <xdr:rowOff>103495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26CD616-D62F-BA13-368E-C7862235E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108654</xdr:colOff>
      <xdr:row>37</xdr:row>
      <xdr:rowOff>121939</xdr:rowOff>
    </xdr:from>
    <xdr:to>
      <xdr:col>22</xdr:col>
      <xdr:colOff>14129</xdr:colOff>
      <xdr:row>58</xdr:row>
      <xdr:rowOff>109543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B63498C-2ABC-DB76-9615-D44ACC519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4400" y="8689700"/>
          <a:ext cx="10672042" cy="3769171"/>
        </a:xfrm>
        <a:prstGeom prst="rect">
          <a:avLst/>
        </a:prstGeom>
      </xdr:spPr>
    </xdr:pic>
    <xdr:clientData/>
  </xdr:twoCellAnchor>
  <xdr:twoCellAnchor editAs="oneCell">
    <xdr:from>
      <xdr:col>21</xdr:col>
      <xdr:colOff>559178</xdr:colOff>
      <xdr:row>37</xdr:row>
      <xdr:rowOff>75821</xdr:rowOff>
    </xdr:from>
    <xdr:to>
      <xdr:col>34</xdr:col>
      <xdr:colOff>58961</xdr:colOff>
      <xdr:row>102</xdr:row>
      <xdr:rowOff>141128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721BEE5-8B4C-42D5-BFAE-00357F448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28581" y="8643582"/>
          <a:ext cx="8247619" cy="117701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144779</xdr:rowOff>
    </xdr:from>
    <xdr:to>
      <xdr:col>2</xdr:col>
      <xdr:colOff>613410</xdr:colOff>
      <xdr:row>14</xdr:row>
      <xdr:rowOff>146684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CA2B7F5-636B-74F6-F003-C7DBB2589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643890</xdr:colOff>
      <xdr:row>10</xdr:row>
      <xdr:rowOff>150495</xdr:rowOff>
    </xdr:from>
    <xdr:to>
      <xdr:col>9</xdr:col>
      <xdr:colOff>335280</xdr:colOff>
      <xdr:row>26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BDE8422-A032-BADE-C38B-4A7C505B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618566</xdr:colOff>
      <xdr:row>5</xdr:row>
      <xdr:rowOff>168088</xdr:rowOff>
    </xdr:from>
    <xdr:to>
      <xdr:col>16</xdr:col>
      <xdr:colOff>484095</xdr:colOff>
      <xdr:row>21</xdr:row>
      <xdr:rowOff>42583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62B12CD-DEA7-D4E4-84A2-81C21616F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573741</xdr:colOff>
      <xdr:row>1</xdr:row>
      <xdr:rowOff>6724</xdr:rowOff>
    </xdr:from>
    <xdr:to>
      <xdr:col>22</xdr:col>
      <xdr:colOff>439270</xdr:colOff>
      <xdr:row>15</xdr:row>
      <xdr:rowOff>163606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4375ADA-0D9F-CA4A-2A46-8FBBB873A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362527</xdr:colOff>
      <xdr:row>68</xdr:row>
      <xdr:rowOff>56411</xdr:rowOff>
    </xdr:from>
    <xdr:to>
      <xdr:col>14</xdr:col>
      <xdr:colOff>591127</xdr:colOff>
      <xdr:row>105</xdr:row>
      <xdr:rowOff>127003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1168208-01A2-CEF4-BA4C-470D27C1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1436" y="11913593"/>
          <a:ext cx="9603509" cy="6477049"/>
        </a:xfrm>
        <a:prstGeom prst="rect">
          <a:avLst/>
        </a:prstGeom>
      </xdr:spPr>
    </xdr:pic>
    <xdr:clientData/>
  </xdr:twoCellAnchor>
  <xdr:twoCellAnchor editAs="oneCell">
    <xdr:from>
      <xdr:col>3</xdr:col>
      <xdr:colOff>533499</xdr:colOff>
      <xdr:row>34</xdr:row>
      <xdr:rowOff>37176</xdr:rowOff>
    </xdr:from>
    <xdr:to>
      <xdr:col>12</xdr:col>
      <xdr:colOff>653288</xdr:colOff>
      <xdr:row>66</xdr:row>
      <xdr:rowOff>95872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3E10317-7D1D-DF47-FFC1-4233DC6B0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2408" y="6006176"/>
          <a:ext cx="8152885" cy="560051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15785</xdr:colOff>
      <xdr:row>3</xdr:row>
      <xdr:rowOff>72390</xdr:rowOff>
    </xdr:from>
    <xdr:to>
      <xdr:col>12</xdr:col>
      <xdr:colOff>327363</xdr:colOff>
      <xdr:row>16</xdr:row>
      <xdr:rowOff>44181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F98B8B7-3533-A17A-23A6-F83AC5463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4215" y="655320"/>
          <a:ext cx="6346618" cy="249782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102242</xdr:rowOff>
    </xdr:from>
    <xdr:to>
      <xdr:col>10</xdr:col>
      <xdr:colOff>160244</xdr:colOff>
      <xdr:row>24</xdr:row>
      <xdr:rowOff>128270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268D90C-2624-4F01-8069-EE226C9E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772"/>
          <a:ext cx="7504654" cy="4115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102032</xdr:rowOff>
    </xdr:from>
    <xdr:to>
      <xdr:col>7</xdr:col>
      <xdr:colOff>614905</xdr:colOff>
      <xdr:row>50</xdr:row>
      <xdr:rowOff>12700</xdr:rowOff>
    </xdr:to>
    <xdr:pic>
      <xdr:nvPicPr>
        <xdr:cNvPr id="3" name="图片 2" descr="图片">
          <a:extLst>
            <a:ext uri="{FF2B5EF4-FFF2-40B4-BE49-F238E27FC236}">
              <a16:creationId xmlns:a16="http://schemas.microsoft.com/office/drawing/2014/main" id="{05CFB1E9-E942-47F7-9145-9B1A23251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6962"/>
          <a:ext cx="5943825" cy="3644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52295</xdr:rowOff>
    </xdr:from>
    <xdr:to>
      <xdr:col>7</xdr:col>
      <xdr:colOff>635071</xdr:colOff>
      <xdr:row>70</xdr:row>
      <xdr:rowOff>121697</xdr:rowOff>
    </xdr:to>
    <xdr:pic>
      <xdr:nvPicPr>
        <xdr:cNvPr id="4" name="图片 3" descr="图片">
          <a:extLst>
            <a:ext uri="{FF2B5EF4-FFF2-40B4-BE49-F238E27FC236}">
              <a16:creationId xmlns:a16="http://schemas.microsoft.com/office/drawing/2014/main" id="{BC187E61-ED65-43E6-991D-D1F3ECCA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9755"/>
          <a:ext cx="5963991" cy="3625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610871</xdr:colOff>
      <xdr:row>29</xdr:row>
      <xdr:rowOff>120650</xdr:rowOff>
    </xdr:from>
    <xdr:to>
      <xdr:col>17</xdr:col>
      <xdr:colOff>506975</xdr:colOff>
      <xdr:row>50</xdr:row>
      <xdr:rowOff>44449</xdr:rowOff>
    </xdr:to>
    <xdr:pic>
      <xdr:nvPicPr>
        <xdr:cNvPr id="5" name="图片 4" descr="图片">
          <a:extLst>
            <a:ext uri="{FF2B5EF4-FFF2-40B4-BE49-F238E27FC236}">
              <a16:creationId xmlns:a16="http://schemas.microsoft.com/office/drawing/2014/main" id="{7266AC1F-1CE9-40EE-B12B-65D0BA1B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1621" y="5275580"/>
          <a:ext cx="5956544" cy="3660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583976</xdr:colOff>
      <xdr:row>50</xdr:row>
      <xdr:rowOff>69627</xdr:rowOff>
    </xdr:from>
    <xdr:to>
      <xdr:col>17</xdr:col>
      <xdr:colOff>284601</xdr:colOff>
      <xdr:row>70</xdr:row>
      <xdr:rowOff>95250</xdr:rowOff>
    </xdr:to>
    <xdr:pic>
      <xdr:nvPicPr>
        <xdr:cNvPr id="6" name="图片 5" descr="图片">
          <a:extLst>
            <a:ext uri="{FF2B5EF4-FFF2-40B4-BE49-F238E27FC236}">
              <a16:creationId xmlns:a16="http://schemas.microsoft.com/office/drawing/2014/main" id="{88C6B089-18E1-4261-BCA7-61610D82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5996" y="8960897"/>
          <a:ext cx="5757255" cy="3580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54836</xdr:colOff>
      <xdr:row>2</xdr:row>
      <xdr:rowOff>53564</xdr:rowOff>
    </xdr:from>
    <xdr:to>
      <xdr:col>34</xdr:col>
      <xdr:colOff>654248</xdr:colOff>
      <xdr:row>18</xdr:row>
      <xdr:rowOff>171898</xdr:rowOff>
    </xdr:to>
    <xdr:pic>
      <xdr:nvPicPr>
        <xdr:cNvPr id="7" name="图片 6" descr="图片">
          <a:extLst>
            <a:ext uri="{FF2B5EF4-FFF2-40B4-BE49-F238E27FC236}">
              <a16:creationId xmlns:a16="http://schemas.microsoft.com/office/drawing/2014/main" id="{105444E7-B2CC-43BD-AA9A-931E75CF8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9896" y="406624"/>
          <a:ext cx="5314922" cy="2965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54834</xdr:colOff>
      <xdr:row>2</xdr:row>
      <xdr:rowOff>93458</xdr:rowOff>
    </xdr:from>
    <xdr:to>
      <xdr:col>26</xdr:col>
      <xdr:colOff>500356</xdr:colOff>
      <xdr:row>18</xdr:row>
      <xdr:rowOff>139476</xdr:rowOff>
    </xdr:to>
    <xdr:pic>
      <xdr:nvPicPr>
        <xdr:cNvPr id="8" name="图片 7" descr="图片">
          <a:extLst>
            <a:ext uri="{FF2B5EF4-FFF2-40B4-BE49-F238E27FC236}">
              <a16:creationId xmlns:a16="http://schemas.microsoft.com/office/drawing/2014/main" id="{28D0B03A-E559-41C8-8E88-BB321FBC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3344" y="449058"/>
          <a:ext cx="5192782" cy="28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max.book118.com/html/2025/0523/5103211040012211.sht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p.weixin.qq.com/s/zfIo8bj_-ArIjF5u_N7I8g" TargetMode="External"/><Relationship Id="rId1" Type="http://schemas.openxmlformats.org/officeDocument/2006/relationships/hyperlink" Target="https://news.qq.com/rain/a/20250821A09AGV00" TargetMode="External"/><Relationship Id="rId4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vell.com/blogs/51-2t-teralynx-10-industrys-lowest-latency-programmable-switch.html" TargetMode="External"/><Relationship Id="rId13" Type="http://schemas.openxmlformats.org/officeDocument/2006/relationships/drawing" Target="../drawings/drawing13.xml"/><Relationship Id="rId3" Type="http://schemas.openxmlformats.org/officeDocument/2006/relationships/hyperlink" Target="https://investor.marvell.com/2022-03-07-Marvell-to-Showcase-Cloud-Optimized-Silicon-Solutions-at-OFC-2022" TargetMode="External"/><Relationship Id="rId7" Type="http://schemas.openxmlformats.org/officeDocument/2006/relationships/hyperlink" Target="https://www.fibermall.com/news/ofc-2024-cpo-era.htm?srsltid=AfmBOoqgAazd1B4mFMeG5tO1Xh7z1GcdWIf6lejIw7iNmyAhEs8qHrBo" TargetMode="External"/><Relationship Id="rId12" Type="http://schemas.openxmlformats.org/officeDocument/2006/relationships/hyperlink" Target="https://picmagazine.net/article/120911/Marvell_announces_new_CPO_architecture_for_custom_AI_accelerators" TargetMode="External"/><Relationship Id="rId2" Type="http://schemas.openxmlformats.org/officeDocument/2006/relationships/hyperlink" Target="https://www.lightcounting.com/research-note/january-2021-research-note-broadcom-announces-switches-with-co-packaged-optics-cpo-6" TargetMode="External"/><Relationship Id="rId1" Type="http://schemas.openxmlformats.org/officeDocument/2006/relationships/hyperlink" Target="https://www.tomshardware.com/news/intel-demonstrates-industrys-first-co-packaged-switch-with-16tbps-silicon-photonics" TargetMode="External"/><Relationship Id="rId6" Type="http://schemas.openxmlformats.org/officeDocument/2006/relationships/hyperlink" Target="https://www.marvell.com/company/newsroom/marvell-co-packaged-optics-architecture-custom-ai-accelerators.html" TargetMode="External"/><Relationship Id="rId11" Type="http://schemas.openxmlformats.org/officeDocument/2006/relationships/hyperlink" Target="https://blogs.cisco.com/sp/cisco-demonstrates-co-packaged-optics-cpo-system-at-ofc-2023" TargetMode="External"/><Relationship Id="rId5" Type="http://schemas.openxmlformats.org/officeDocument/2006/relationships/hyperlink" Target="https://www.trendforce.com/news/2024/12/30/news-tsmc-advances-in-silicon-photonics-broadcom-and-nvidia-set-to-be-first-customers/" TargetMode="External"/><Relationship Id="rId10" Type="http://schemas.openxmlformats.org/officeDocument/2006/relationships/hyperlink" Target="https://ayarlabs.com/news/ayar-labs-155m-series-d-to-address-ai-infrastructure-includes-amd-intel-capital-nvidia/" TargetMode="External"/><Relationship Id="rId4" Type="http://schemas.openxmlformats.org/officeDocument/2006/relationships/hyperlink" Target="https://www.trendforce.com/news/2024/12/30/news-tsmc-advances-in-silicon-photonics-broadcom-and-nvidia-set-to-be-first-customers/" TargetMode="External"/><Relationship Id="rId9" Type="http://schemas.openxmlformats.org/officeDocument/2006/relationships/hyperlink" Target="https://www.fibermall.com/blog/era-of-ai-optical-communication.htm?srsltid=AfmBOorhJ-LQlRsqNMUylHKnlCaTLmjbGEbyZs9te97SweEXonMfpB5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mp.weixin.qq.com/s/qDMz6XstmpcRqsaYZwkVsQ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cninfo.com.cn/finalpage/2024-11-09/1221663098.PDF" TargetMode="External"/><Relationship Id="rId2" Type="http://schemas.openxmlformats.org/officeDocument/2006/relationships/hyperlink" Target="https://pdf.dfcfw.com/pdf/H2_AN202504171658046622_1.pdf?1744929178000.pdf" TargetMode="External"/><Relationship Id="rId1" Type="http://schemas.openxmlformats.org/officeDocument/2006/relationships/hyperlink" Target="https://pdf.dfcfw.com/pdf/H2_AN202504171658046626_1.pdf" TargetMode="External"/><Relationship Id="rId4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s://ayarlabs.com/about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E3DC-0BB7-4E09-91E5-29003A66E626}">
  <dimension ref="A1:AW73"/>
  <sheetViews>
    <sheetView topLeftCell="AF1" zoomScale="85" zoomScaleNormal="85" workbookViewId="0">
      <selection activeCell="AJ27" sqref="AJ27"/>
    </sheetView>
  </sheetViews>
  <sheetFormatPr defaultRowHeight="14.1"/>
  <cols>
    <col min="23" max="23" width="31.84765625" bestFit="1" customWidth="1"/>
    <col min="40" max="40" width="13.3984375" bestFit="1" customWidth="1"/>
    <col min="41" max="41" width="10.296875" bestFit="1" customWidth="1"/>
    <col min="44" max="44" width="15.75" customWidth="1"/>
    <col min="45" max="45" width="16.84765625" customWidth="1"/>
  </cols>
  <sheetData>
    <row r="1" spans="1:48">
      <c r="A1" t="s">
        <v>165</v>
      </c>
      <c r="K1">
        <v>2016</v>
      </c>
      <c r="L1">
        <v>2017</v>
      </c>
      <c r="M1">
        <v>2020</v>
      </c>
      <c r="N1">
        <v>2022</v>
      </c>
      <c r="O1">
        <v>2024</v>
      </c>
      <c r="W1" t="s">
        <v>172</v>
      </c>
      <c r="AM1" t="s">
        <v>179</v>
      </c>
      <c r="AN1" t="s">
        <v>182</v>
      </c>
      <c r="AO1" t="s">
        <v>183</v>
      </c>
      <c r="AP1" t="s">
        <v>180</v>
      </c>
      <c r="AS1">
        <v>2022</v>
      </c>
      <c r="AT1">
        <v>2028</v>
      </c>
    </row>
    <row r="2" spans="1:48">
      <c r="B2">
        <v>2016</v>
      </c>
      <c r="C2">
        <v>2017</v>
      </c>
      <c r="D2">
        <v>2020</v>
      </c>
      <c r="E2">
        <v>2022</v>
      </c>
      <c r="F2">
        <v>2024</v>
      </c>
      <c r="J2" t="s">
        <v>166</v>
      </c>
      <c r="K2">
        <v>19</v>
      </c>
      <c r="L2">
        <v>130</v>
      </c>
      <c r="M2">
        <v>620</v>
      </c>
      <c r="N2">
        <v>4000</v>
      </c>
      <c r="O2">
        <v>7000</v>
      </c>
      <c r="Q2">
        <f>O2/M2</f>
        <v>11.290322580645162</v>
      </c>
      <c r="X2" t="s">
        <v>173</v>
      </c>
      <c r="Y2" t="s">
        <v>90</v>
      </c>
      <c r="Z2" t="s">
        <v>91</v>
      </c>
      <c r="AA2" t="s">
        <v>136</v>
      </c>
      <c r="AB2" t="s">
        <v>137</v>
      </c>
      <c r="AC2" t="s">
        <v>174</v>
      </c>
      <c r="AD2" t="s">
        <v>175</v>
      </c>
      <c r="AE2" t="s">
        <v>176</v>
      </c>
      <c r="AL2">
        <v>2022</v>
      </c>
      <c r="AM2">
        <v>142</v>
      </c>
      <c r="AN2">
        <f>AM2/AM3*AN3</f>
        <v>351.57831325301203</v>
      </c>
      <c r="AO2">
        <f>AN2*AP2</f>
        <v>3.5157831325301205</v>
      </c>
      <c r="AP2" s="8">
        <v>0.01</v>
      </c>
    </row>
    <row r="3" spans="1:48">
      <c r="A3" t="s">
        <v>167</v>
      </c>
      <c r="B3">
        <v>19</v>
      </c>
      <c r="C3">
        <v>130</v>
      </c>
      <c r="D3">
        <v>620</v>
      </c>
      <c r="E3">
        <v>4000</v>
      </c>
      <c r="F3">
        <v>20000</v>
      </c>
      <c r="J3" t="s">
        <v>168</v>
      </c>
      <c r="M3">
        <v>620</v>
      </c>
      <c r="N3">
        <v>1987.1794871794871</v>
      </c>
      <c r="O3">
        <f>F4/D4*M3</f>
        <v>3477.5641025641025</v>
      </c>
      <c r="Q3">
        <f>O3/M3</f>
        <v>5.6089743589743586</v>
      </c>
      <c r="AL3">
        <v>2023</v>
      </c>
      <c r="AM3">
        <v>166</v>
      </c>
      <c r="AN3">
        <v>411</v>
      </c>
      <c r="AR3" t="s">
        <v>182</v>
      </c>
      <c r="AS3">
        <v>351.57831325301203</v>
      </c>
      <c r="AT3">
        <v>886.37349397590367</v>
      </c>
      <c r="AV3">
        <f>AT3/AS3</f>
        <v>2.5211267605633805</v>
      </c>
    </row>
    <row r="4" spans="1:48">
      <c r="A4" t="s">
        <v>169</v>
      </c>
      <c r="D4">
        <v>312</v>
      </c>
      <c r="E4">
        <v>1000</v>
      </c>
      <c r="F4">
        <v>1750</v>
      </c>
      <c r="J4" t="s">
        <v>170</v>
      </c>
      <c r="M4">
        <v>620</v>
      </c>
      <c r="N4">
        <v>1240</v>
      </c>
      <c r="O4">
        <v>2480</v>
      </c>
      <c r="Q4">
        <f>O4/M4</f>
        <v>4</v>
      </c>
      <c r="W4" t="s">
        <v>178</v>
      </c>
      <c r="X4">
        <v>29</v>
      </c>
      <c r="Y4">
        <v>85</v>
      </c>
      <c r="Z4">
        <v>175</v>
      </c>
      <c r="AA4">
        <v>316</v>
      </c>
      <c r="AB4">
        <v>503</v>
      </c>
      <c r="AC4">
        <v>705</v>
      </c>
      <c r="AD4">
        <v>906</v>
      </c>
      <c r="AE4">
        <v>1058</v>
      </c>
      <c r="AL4">
        <v>2028</v>
      </c>
      <c r="AM4">
        <v>358</v>
      </c>
      <c r="AN4">
        <f>AN3*AM4/AM3</f>
        <v>886.37349397590367</v>
      </c>
      <c r="AO4">
        <f>AN4*AP4</f>
        <v>70.909879518072302</v>
      </c>
      <c r="AP4" s="8">
        <v>0.08</v>
      </c>
      <c r="AR4" t="s">
        <v>183</v>
      </c>
      <c r="AS4">
        <v>3.5157831325301205</v>
      </c>
      <c r="AT4">
        <v>70.909879518072302</v>
      </c>
      <c r="AV4">
        <f>AT4/AS4</f>
        <v>20.169014084507044</v>
      </c>
    </row>
    <row r="5" spans="1:48">
      <c r="A5" t="s">
        <v>171</v>
      </c>
      <c r="D5">
        <v>200</v>
      </c>
      <c r="E5">
        <v>400</v>
      </c>
      <c r="F5">
        <v>800</v>
      </c>
      <c r="W5" t="s">
        <v>177</v>
      </c>
      <c r="X5">
        <v>0.1</v>
      </c>
      <c r="Y5">
        <v>0.3</v>
      </c>
      <c r="Z5">
        <v>0.6</v>
      </c>
      <c r="AA5">
        <v>1.1000000000000001</v>
      </c>
      <c r="AB5">
        <v>1.7</v>
      </c>
      <c r="AC5">
        <v>2.2999999999999998</v>
      </c>
      <c r="AD5">
        <v>2.8</v>
      </c>
      <c r="AE5">
        <v>3.2</v>
      </c>
      <c r="AR5" t="s">
        <v>180</v>
      </c>
      <c r="AS5">
        <v>0.01</v>
      </c>
      <c r="AT5">
        <v>0.08</v>
      </c>
    </row>
    <row r="34" spans="1:49">
      <c r="A34" t="s">
        <v>45</v>
      </c>
      <c r="AK34" t="s">
        <v>79</v>
      </c>
      <c r="AL34" t="s">
        <v>78</v>
      </c>
      <c r="AM34" t="s">
        <v>80</v>
      </c>
      <c r="AO34" t="s">
        <v>77</v>
      </c>
      <c r="AP34">
        <v>88</v>
      </c>
      <c r="AS34" t="s">
        <v>81</v>
      </c>
      <c r="AT34" t="s">
        <v>82</v>
      </c>
      <c r="AU34" t="s">
        <v>84</v>
      </c>
      <c r="AW34" t="s">
        <v>83</v>
      </c>
    </row>
    <row r="35" spans="1:49" ht="36.9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L35" s="1" t="s">
        <v>46</v>
      </c>
      <c r="M35" s="1" t="s">
        <v>694</v>
      </c>
      <c r="N35" s="61" t="s">
        <v>695</v>
      </c>
      <c r="O35" s="4" t="s">
        <v>47</v>
      </c>
      <c r="AK35">
        <v>1</v>
      </c>
      <c r="AL35" s="12">
        <f>AM35/$AP$34*10</f>
        <v>25.22727272727273</v>
      </c>
      <c r="AM35">
        <v>222</v>
      </c>
      <c r="AS35">
        <v>1</v>
      </c>
      <c r="AT35" s="11">
        <f t="shared" ref="AT35:AT41" si="0">AU35/$AW$35*10</f>
        <v>2.8571428571428568</v>
      </c>
      <c r="AU35">
        <v>26</v>
      </c>
      <c r="AW35">
        <v>91</v>
      </c>
    </row>
    <row r="36" spans="1:49">
      <c r="A36" s="88">
        <v>2020</v>
      </c>
      <c r="B36" s="88" t="s">
        <v>10</v>
      </c>
      <c r="C36" s="1" t="s">
        <v>11</v>
      </c>
      <c r="D36" s="88" t="s">
        <v>12</v>
      </c>
      <c r="E36" s="88" t="s">
        <v>13</v>
      </c>
      <c r="F36" s="88" t="s">
        <v>14</v>
      </c>
      <c r="G36" s="88" t="s">
        <v>15</v>
      </c>
      <c r="H36" s="88" t="s">
        <v>16</v>
      </c>
      <c r="I36" s="88" t="s">
        <v>17</v>
      </c>
      <c r="J36" s="88" t="s">
        <v>16</v>
      </c>
      <c r="L36" s="5">
        <v>2020</v>
      </c>
      <c r="M36">
        <v>50</v>
      </c>
      <c r="N36">
        <v>50</v>
      </c>
      <c r="O36">
        <v>312</v>
      </c>
      <c r="AK36">
        <v>10</v>
      </c>
      <c r="AL36" s="12">
        <f>AM36/$AP$34*10</f>
        <v>15.113636363636365</v>
      </c>
      <c r="AM36">
        <v>133</v>
      </c>
      <c r="AS36">
        <v>10</v>
      </c>
      <c r="AT36" s="11">
        <f t="shared" si="0"/>
        <v>3.9560439560439558</v>
      </c>
      <c r="AU36">
        <v>36</v>
      </c>
    </row>
    <row r="37" spans="1:49">
      <c r="A37" s="88"/>
      <c r="B37" s="88"/>
      <c r="C37" s="1" t="s">
        <v>18</v>
      </c>
      <c r="D37" s="88"/>
      <c r="E37" s="88"/>
      <c r="F37" s="88"/>
      <c r="G37" s="88"/>
      <c r="H37" s="88"/>
      <c r="I37" s="88"/>
      <c r="J37" s="88"/>
      <c r="L37" s="5">
        <v>2022</v>
      </c>
      <c r="M37">
        <v>100</v>
      </c>
      <c r="N37">
        <v>100</v>
      </c>
      <c r="O37">
        <v>1000</v>
      </c>
      <c r="AK37">
        <v>25</v>
      </c>
      <c r="AL37" s="12">
        <f>AM37/$AP$34*10</f>
        <v>7.1590909090909092</v>
      </c>
      <c r="AM37">
        <v>63</v>
      </c>
      <c r="AS37">
        <v>40</v>
      </c>
      <c r="AT37" s="11">
        <f t="shared" si="0"/>
        <v>4.9450549450549453</v>
      </c>
      <c r="AU37">
        <v>45</v>
      </c>
    </row>
    <row r="38" spans="1:49">
      <c r="A38" s="88"/>
      <c r="B38" s="88"/>
      <c r="C38" s="1" t="s">
        <v>18</v>
      </c>
      <c r="D38" s="88"/>
      <c r="E38" s="88"/>
      <c r="F38" s="88"/>
      <c r="G38" s="88"/>
      <c r="H38" s="88"/>
      <c r="I38" s="88"/>
      <c r="J38" s="88"/>
      <c r="L38" s="5">
        <v>2024</v>
      </c>
      <c r="M38">
        <v>200</v>
      </c>
      <c r="N38">
        <v>200</v>
      </c>
      <c r="O38">
        <v>1750</v>
      </c>
      <c r="AK38">
        <v>50</v>
      </c>
      <c r="AL38" s="12">
        <f>AM38/$AP$34*10</f>
        <v>5.1136363636363633</v>
      </c>
      <c r="AM38">
        <v>45</v>
      </c>
      <c r="AS38">
        <v>100</v>
      </c>
      <c r="AT38" s="11">
        <f t="shared" si="0"/>
        <v>7.0329670329670337</v>
      </c>
      <c r="AU38">
        <v>64</v>
      </c>
    </row>
    <row r="39" spans="1:49">
      <c r="A39" s="88">
        <v>2022</v>
      </c>
      <c r="B39" s="88" t="s">
        <v>19</v>
      </c>
      <c r="C39" s="1" t="s">
        <v>20</v>
      </c>
      <c r="D39" s="88" t="s">
        <v>21</v>
      </c>
      <c r="E39" s="88" t="s">
        <v>22</v>
      </c>
      <c r="F39" s="88" t="s">
        <v>23</v>
      </c>
      <c r="G39" s="88" t="s">
        <v>24</v>
      </c>
      <c r="H39" s="88" t="s">
        <v>16</v>
      </c>
      <c r="I39" s="88" t="s">
        <v>25</v>
      </c>
      <c r="J39" s="88" t="s">
        <v>26</v>
      </c>
      <c r="L39" s="6">
        <v>2026</v>
      </c>
      <c r="M39">
        <v>200</v>
      </c>
      <c r="N39">
        <v>400</v>
      </c>
      <c r="AK39">
        <v>100</v>
      </c>
      <c r="AL39" s="12">
        <f>AM39/$AP$34*10</f>
        <v>3.0681818181818183</v>
      </c>
      <c r="AM39">
        <v>27</v>
      </c>
      <c r="AS39">
        <v>200</v>
      </c>
      <c r="AT39" s="11">
        <f t="shared" si="0"/>
        <v>8.791208791208792</v>
      </c>
      <c r="AU39">
        <v>80</v>
      </c>
    </row>
    <row r="40" spans="1:49">
      <c r="A40" s="88"/>
      <c r="B40" s="88"/>
      <c r="C40" s="1" t="s">
        <v>27</v>
      </c>
      <c r="D40" s="88"/>
      <c r="E40" s="88"/>
      <c r="F40" s="88"/>
      <c r="G40" s="88"/>
      <c r="H40" s="88"/>
      <c r="I40" s="88"/>
      <c r="J40" s="88"/>
      <c r="L40" s="5"/>
      <c r="AK40">
        <v>200</v>
      </c>
      <c r="AL40" s="12">
        <v>2</v>
      </c>
      <c r="AM40">
        <v>27</v>
      </c>
      <c r="AS40">
        <v>400</v>
      </c>
      <c r="AT40" s="11">
        <f t="shared" si="0"/>
        <v>13.736263736263737</v>
      </c>
      <c r="AU40">
        <v>125</v>
      </c>
    </row>
    <row r="41" spans="1:49">
      <c r="A41" s="88"/>
      <c r="B41" s="88"/>
      <c r="C41" s="1" t="s">
        <v>18</v>
      </c>
      <c r="D41" s="88"/>
      <c r="E41" s="88"/>
      <c r="F41" s="88"/>
      <c r="G41" s="88"/>
      <c r="H41" s="88"/>
      <c r="I41" s="88"/>
      <c r="J41" s="88"/>
      <c r="L41" s="5"/>
      <c r="AK41">
        <v>400</v>
      </c>
      <c r="AL41" s="12">
        <v>1</v>
      </c>
      <c r="AM41">
        <v>18</v>
      </c>
      <c r="AS41">
        <v>800</v>
      </c>
      <c r="AT41" s="11">
        <f t="shared" si="0"/>
        <v>23.296703296703299</v>
      </c>
      <c r="AU41">
        <v>212</v>
      </c>
    </row>
    <row r="42" spans="1:49">
      <c r="A42" s="88" t="s">
        <v>28</v>
      </c>
      <c r="B42" s="88" t="s">
        <v>29</v>
      </c>
      <c r="C42" s="1" t="s">
        <v>30</v>
      </c>
      <c r="D42" s="88" t="s">
        <v>21</v>
      </c>
      <c r="E42" s="88" t="s">
        <v>31</v>
      </c>
      <c r="F42" s="88" t="s">
        <v>32</v>
      </c>
      <c r="G42" s="88" t="s">
        <v>33</v>
      </c>
      <c r="H42" s="88" t="s">
        <v>34</v>
      </c>
      <c r="I42" s="88" t="s">
        <v>35</v>
      </c>
      <c r="J42" s="88" t="s">
        <v>36</v>
      </c>
      <c r="AL42" s="12"/>
      <c r="AM42">
        <v>18</v>
      </c>
    </row>
    <row r="43" spans="1:49">
      <c r="A43" s="88"/>
      <c r="B43" s="88"/>
      <c r="C43" s="1" t="s">
        <v>37</v>
      </c>
      <c r="D43" s="88"/>
      <c r="E43" s="88"/>
      <c r="F43" s="88"/>
      <c r="G43" s="88"/>
      <c r="H43" s="88"/>
      <c r="I43" s="88"/>
      <c r="J43" s="88"/>
      <c r="L43" s="5"/>
    </row>
    <row r="44" spans="1:49">
      <c r="A44" s="88"/>
      <c r="B44" s="88"/>
      <c r="C44" s="1" t="s">
        <v>38</v>
      </c>
      <c r="D44" s="88"/>
      <c r="E44" s="88"/>
      <c r="F44" s="88"/>
      <c r="G44" s="88"/>
      <c r="H44" s="88"/>
      <c r="I44" s="88"/>
      <c r="J44" s="88"/>
      <c r="L44" s="5"/>
    </row>
    <row r="45" spans="1:49" ht="51">
      <c r="A45" s="1" t="s">
        <v>39</v>
      </c>
      <c r="B45" s="1" t="s">
        <v>40</v>
      </c>
      <c r="C45" s="2"/>
      <c r="D45" s="3" t="s">
        <v>41</v>
      </c>
      <c r="E45" s="1" t="s">
        <v>42</v>
      </c>
      <c r="F45" s="1" t="s">
        <v>43</v>
      </c>
      <c r="G45" s="1" t="s">
        <v>44</v>
      </c>
      <c r="H45" s="2"/>
      <c r="I45" s="2"/>
      <c r="J45" s="2"/>
    </row>
    <row r="46" spans="1:49">
      <c r="AK46">
        <v>1</v>
      </c>
      <c r="AL46">
        <v>10</v>
      </c>
      <c r="AM46">
        <v>25</v>
      </c>
      <c r="AN46">
        <v>50</v>
      </c>
      <c r="AO46">
        <v>100</v>
      </c>
      <c r="AP46">
        <v>200</v>
      </c>
      <c r="AQ46">
        <v>400</v>
      </c>
      <c r="AR46">
        <v>800</v>
      </c>
    </row>
    <row r="73" spans="1:3">
      <c r="A73" s="47"/>
      <c r="B73" s="46"/>
      <c r="C73" s="46"/>
    </row>
  </sheetData>
  <mergeCells count="27">
    <mergeCell ref="F39:F41"/>
    <mergeCell ref="J36:J38"/>
    <mergeCell ref="G39:G41"/>
    <mergeCell ref="G36:G38"/>
    <mergeCell ref="H36:H38"/>
    <mergeCell ref="I36:I38"/>
    <mergeCell ref="J42:J44"/>
    <mergeCell ref="I39:I41"/>
    <mergeCell ref="J39:J41"/>
    <mergeCell ref="H39:H41"/>
    <mergeCell ref="A39:A41"/>
    <mergeCell ref="G42:G44"/>
    <mergeCell ref="H42:H44"/>
    <mergeCell ref="I42:I44"/>
    <mergeCell ref="A42:A44"/>
    <mergeCell ref="B42:B44"/>
    <mergeCell ref="D42:D44"/>
    <mergeCell ref="E42:E44"/>
    <mergeCell ref="F42:F44"/>
    <mergeCell ref="B39:B41"/>
    <mergeCell ref="D39:D41"/>
    <mergeCell ref="E39:E41"/>
    <mergeCell ref="A36:A38"/>
    <mergeCell ref="B36:B38"/>
    <mergeCell ref="D36:D38"/>
    <mergeCell ref="E36:E38"/>
    <mergeCell ref="F36:F38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DD00-768E-4646-A9A1-89694538B638}">
  <dimension ref="A1:U11"/>
  <sheetViews>
    <sheetView zoomScale="85" zoomScaleNormal="85" workbookViewId="0">
      <selection activeCell="J6" sqref="J6"/>
    </sheetView>
  </sheetViews>
  <sheetFormatPr defaultRowHeight="14.1"/>
  <cols>
    <col min="1" max="1" width="19.3984375" customWidth="1"/>
    <col min="4" max="4" width="21.59765625" bestFit="1" customWidth="1"/>
    <col min="5" max="5" width="12.19921875" bestFit="1" customWidth="1"/>
    <col min="7" max="7" width="19.5" bestFit="1" customWidth="1"/>
    <col min="12" max="12" width="17.3984375" customWidth="1"/>
  </cols>
  <sheetData>
    <row r="1" spans="1:21">
      <c r="A1" t="s">
        <v>181</v>
      </c>
      <c r="G1" t="s">
        <v>255</v>
      </c>
      <c r="R1" t="s">
        <v>727</v>
      </c>
    </row>
    <row r="2" spans="1:21">
      <c r="A2" s="51" t="s">
        <v>254</v>
      </c>
      <c r="B2" s="51" t="s">
        <v>199</v>
      </c>
      <c r="C2" s="51" t="s">
        <v>226</v>
      </c>
      <c r="D2" s="51" t="s">
        <v>751</v>
      </c>
      <c r="E2" s="51" t="s">
        <v>735</v>
      </c>
      <c r="H2" t="s">
        <v>199</v>
      </c>
      <c r="I2" t="s">
        <v>226</v>
      </c>
      <c r="K2" t="s">
        <v>691</v>
      </c>
      <c r="L2" t="s">
        <v>690</v>
      </c>
      <c r="M2" t="s">
        <v>692</v>
      </c>
      <c r="N2" t="s">
        <v>693</v>
      </c>
      <c r="S2" t="s">
        <v>724</v>
      </c>
      <c r="T2" t="s">
        <v>723</v>
      </c>
      <c r="U2" t="s">
        <v>728</v>
      </c>
    </row>
    <row r="3" spans="1:21">
      <c r="A3" t="s">
        <v>251</v>
      </c>
      <c r="B3">
        <v>15</v>
      </c>
      <c r="C3">
        <v>33</v>
      </c>
      <c r="D3" s="79">
        <f>H$3*B3+I$3*C3</f>
        <v>613440</v>
      </c>
      <c r="E3" s="79"/>
      <c r="G3" t="s">
        <v>252</v>
      </c>
      <c r="H3">
        <v>9216</v>
      </c>
      <c r="I3">
        <v>14400</v>
      </c>
      <c r="K3">
        <v>9216</v>
      </c>
      <c r="L3" s="84">
        <f>D3/K3</f>
        <v>66.5625</v>
      </c>
      <c r="M3">
        <v>900</v>
      </c>
      <c r="N3" s="55">
        <f>L3/M3</f>
        <v>7.3958333333333334E-2</v>
      </c>
      <c r="R3" t="s">
        <v>722</v>
      </c>
      <c r="S3">
        <v>73</v>
      </c>
      <c r="T3">
        <v>128</v>
      </c>
      <c r="U3">
        <v>208</v>
      </c>
    </row>
    <row r="4" spans="1:21">
      <c r="A4" t="s">
        <v>729</v>
      </c>
      <c r="B4" s="12">
        <f>T6*B3</f>
        <v>22.325581395348838</v>
      </c>
      <c r="C4" s="12">
        <f>U6*C3</f>
        <v>47.337931034482757</v>
      </c>
      <c r="D4" s="79"/>
      <c r="G4" t="s">
        <v>732</v>
      </c>
      <c r="H4">
        <f>H3/9216</f>
        <v>1</v>
      </c>
      <c r="I4">
        <f>I3/9216</f>
        <v>1.5625</v>
      </c>
      <c r="R4" t="s">
        <v>725</v>
      </c>
      <c r="S4">
        <v>46</v>
      </c>
      <c r="T4">
        <v>86</v>
      </c>
      <c r="U4">
        <v>145</v>
      </c>
    </row>
    <row r="5" spans="1:21">
      <c r="A5" t="s">
        <v>731</v>
      </c>
      <c r="B5" s="12">
        <f>B3+B4</f>
        <v>37.325581395348834</v>
      </c>
      <c r="C5" s="12">
        <f>C3+C4</f>
        <v>80.33793103448275</v>
      </c>
      <c r="D5" s="79">
        <f>B5*H3+C5*I3</f>
        <v>1500858.7650360866</v>
      </c>
      <c r="E5" s="79">
        <f>8.75*D5*0.7</f>
        <v>9192759.9358460288</v>
      </c>
    </row>
    <row r="6" spans="1:21">
      <c r="A6" t="s">
        <v>730</v>
      </c>
      <c r="B6" s="12">
        <f>B5*0.4</f>
        <v>14.930232558139535</v>
      </c>
      <c r="C6" s="12">
        <f>C5*0.4</f>
        <v>32.1351724137931</v>
      </c>
      <c r="D6" s="79">
        <f>H$3*B6+I$3*C6</f>
        <v>600343.50601443462</v>
      </c>
      <c r="E6" s="79">
        <f>8.75*D6*0.7</f>
        <v>3677103.9743384114</v>
      </c>
      <c r="R6" t="s">
        <v>726</v>
      </c>
      <c r="S6" s="62">
        <f>S3/S4</f>
        <v>1.5869565217391304</v>
      </c>
      <c r="T6" s="62">
        <f>T3/T4</f>
        <v>1.4883720930232558</v>
      </c>
      <c r="U6" s="62">
        <f>U3/U4</f>
        <v>1.4344827586206896</v>
      </c>
    </row>
    <row r="7" spans="1:21">
      <c r="A7" s="51" t="s">
        <v>733</v>
      </c>
      <c r="B7" s="85">
        <f>B5-B6</f>
        <v>22.395348837209298</v>
      </c>
      <c r="C7" s="85">
        <f>C5-C6</f>
        <v>48.20275862068965</v>
      </c>
    </row>
    <row r="9" spans="1:21">
      <c r="D9" s="86" t="s">
        <v>734</v>
      </c>
      <c r="E9" s="87">
        <f>D5-D6</f>
        <v>900515.25902165193</v>
      </c>
    </row>
    <row r="10" spans="1:21">
      <c r="D10" s="86" t="s">
        <v>714</v>
      </c>
      <c r="E10" s="87">
        <f>E5-E6</f>
        <v>5515655.9615076175</v>
      </c>
    </row>
    <row r="11" spans="1:21">
      <c r="A11" t="s">
        <v>253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0462-3B94-4DB1-A188-6208C8A7E9CF}">
  <dimension ref="A9"/>
  <sheetViews>
    <sheetView zoomScale="85" zoomScaleNormal="85" workbookViewId="0">
      <selection activeCell="D19" sqref="D19"/>
    </sheetView>
  </sheetViews>
  <sheetFormatPr defaultRowHeight="14.1"/>
  <sheetData>
    <row r="9" ht="26.4" customHeight="1"/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8FC6-6B68-4F7E-91A1-C155B97DF4A5}">
  <dimension ref="A1:S5"/>
  <sheetViews>
    <sheetView zoomScale="85" zoomScaleNormal="85" workbookViewId="0">
      <selection activeCell="S2" sqref="S2"/>
    </sheetView>
  </sheetViews>
  <sheetFormatPr defaultRowHeight="14.1"/>
  <sheetData>
    <row r="1" spans="1:19" ht="24.6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  <c r="I1" s="7" t="s">
        <v>48</v>
      </c>
      <c r="J1" s="7" t="s">
        <v>72</v>
      </c>
      <c r="Q1" t="s">
        <v>711</v>
      </c>
    </row>
    <row r="2" spans="1:19" ht="234.9">
      <c r="A2" s="88" t="s">
        <v>54</v>
      </c>
      <c r="B2" s="89"/>
      <c r="C2" s="7" t="s">
        <v>55</v>
      </c>
      <c r="D2" s="88" t="s">
        <v>57</v>
      </c>
      <c r="E2" s="88" t="s">
        <v>58</v>
      </c>
      <c r="F2" s="88" t="s">
        <v>59</v>
      </c>
      <c r="I2" s="5" t="s">
        <v>70</v>
      </c>
      <c r="J2" s="5">
        <v>4</v>
      </c>
      <c r="K2" s="5" t="s">
        <v>71</v>
      </c>
      <c r="L2">
        <f>J3/J2-1</f>
        <v>-0.4</v>
      </c>
      <c r="P2" t="s">
        <v>709</v>
      </c>
      <c r="Q2">
        <v>15</v>
      </c>
      <c r="S2">
        <f>Q2*0.4</f>
        <v>6</v>
      </c>
    </row>
    <row r="3" spans="1:19" ht="49.2">
      <c r="A3" s="88"/>
      <c r="B3" s="89"/>
      <c r="C3" s="7" t="s">
        <v>56</v>
      </c>
      <c r="D3" s="88"/>
      <c r="E3" s="88"/>
      <c r="F3" s="88"/>
      <c r="H3" s="7" t="s">
        <v>75</v>
      </c>
      <c r="I3" s="7" t="s">
        <v>75</v>
      </c>
      <c r="J3" s="7">
        <v>2.4</v>
      </c>
      <c r="L3">
        <f>J3/J4-1</f>
        <v>-0.63076923076923075</v>
      </c>
      <c r="P3" t="s">
        <v>710</v>
      </c>
      <c r="Q3">
        <v>10</v>
      </c>
      <c r="S3">
        <f>10*0.4</f>
        <v>4</v>
      </c>
    </row>
    <row r="4" spans="1:19" ht="36.9">
      <c r="A4" s="7" t="s">
        <v>60</v>
      </c>
      <c r="B4" s="7" t="s">
        <v>61</v>
      </c>
      <c r="C4" s="7" t="s">
        <v>62</v>
      </c>
      <c r="D4" s="88" t="s">
        <v>63</v>
      </c>
      <c r="E4" s="7" t="s">
        <v>64</v>
      </c>
      <c r="F4" s="7" t="s">
        <v>65</v>
      </c>
      <c r="I4" s="7" t="s">
        <v>74</v>
      </c>
      <c r="J4" s="7">
        <v>6.5</v>
      </c>
      <c r="K4" s="7" t="s">
        <v>73</v>
      </c>
      <c r="Q4" s="78"/>
    </row>
    <row r="5" spans="1:19" ht="49.2">
      <c r="A5" s="2"/>
      <c r="B5" s="7" t="s">
        <v>66</v>
      </c>
      <c r="C5" s="7" t="s">
        <v>67</v>
      </c>
      <c r="D5" s="88"/>
      <c r="E5" s="7" t="s">
        <v>68</v>
      </c>
      <c r="F5" s="7" t="s">
        <v>69</v>
      </c>
      <c r="P5" t="s">
        <v>75</v>
      </c>
      <c r="Q5">
        <v>5.5</v>
      </c>
    </row>
  </sheetData>
  <mergeCells count="6">
    <mergeCell ref="F2:F3"/>
    <mergeCell ref="D4:D5"/>
    <mergeCell ref="A2:A3"/>
    <mergeCell ref="B2:B3"/>
    <mergeCell ref="D2:D3"/>
    <mergeCell ref="E2:E3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BDCB-438E-4EBA-B73E-7C70E3C3308F}">
  <dimension ref="I1:W5"/>
  <sheetViews>
    <sheetView workbookViewId="0">
      <selection sqref="A1:G21"/>
    </sheetView>
  </sheetViews>
  <sheetFormatPr defaultRowHeight="14.1"/>
  <cols>
    <col min="9" max="9" width="32.94921875" bestFit="1" customWidth="1"/>
  </cols>
  <sheetData>
    <row r="1" spans="9:23">
      <c r="I1" t="s">
        <v>89</v>
      </c>
      <c r="Q1">
        <v>93</v>
      </c>
      <c r="S1">
        <v>2026</v>
      </c>
      <c r="T1">
        <v>2027</v>
      </c>
      <c r="U1">
        <v>2028</v>
      </c>
      <c r="V1">
        <v>2029</v>
      </c>
      <c r="W1">
        <v>2030</v>
      </c>
    </row>
    <row r="2" spans="9:23">
      <c r="J2">
        <v>2023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Q2">
        <v>800</v>
      </c>
      <c r="S2">
        <v>65</v>
      </c>
      <c r="T2">
        <v>227.5</v>
      </c>
      <c r="U2">
        <f>T2*T2/S2</f>
        <v>796.25</v>
      </c>
      <c r="V2">
        <f t="shared" ref="V2:W2" si="0">U2*U2/T2</f>
        <v>2786.875</v>
      </c>
      <c r="W2">
        <f t="shared" si="0"/>
        <v>9754.0625</v>
      </c>
    </row>
    <row r="3" spans="9:23">
      <c r="I3" t="s">
        <v>95</v>
      </c>
      <c r="J3">
        <v>3.5</v>
      </c>
      <c r="K3">
        <v>3</v>
      </c>
      <c r="L3">
        <v>2.9</v>
      </c>
      <c r="M3">
        <v>3.7</v>
      </c>
      <c r="N3">
        <v>2.5</v>
      </c>
      <c r="O3">
        <v>2.2000000000000002</v>
      </c>
      <c r="Q3">
        <v>0.45</v>
      </c>
      <c r="T3">
        <f>T2/S2-1</f>
        <v>2.5</v>
      </c>
      <c r="U3">
        <f t="shared" ref="U3:W3" si="1">U2/T2-1</f>
        <v>2.5</v>
      </c>
      <c r="V3">
        <f t="shared" si="1"/>
        <v>2.5</v>
      </c>
      <c r="W3">
        <f t="shared" si="1"/>
        <v>2.5</v>
      </c>
    </row>
    <row r="4" spans="9:23">
      <c r="I4" t="s">
        <v>96</v>
      </c>
      <c r="J4">
        <v>3.5</v>
      </c>
      <c r="K4">
        <v>5.8</v>
      </c>
      <c r="L4">
        <v>10.9</v>
      </c>
      <c r="M4">
        <v>15.8</v>
      </c>
      <c r="N4">
        <v>15.7</v>
      </c>
      <c r="O4">
        <v>18.899999999999999</v>
      </c>
      <c r="Q4">
        <f>Q1/Q2/Q3*10000</f>
        <v>2583.3333333333335</v>
      </c>
    </row>
    <row r="5" spans="9:23">
      <c r="I5" t="s">
        <v>97</v>
      </c>
      <c r="J5" s="8">
        <f>J4/SUM(J3:J4)</f>
        <v>0.5</v>
      </c>
      <c r="K5" s="8">
        <f t="shared" ref="K5:O5" si="2">K4/SUM(K3:K4)</f>
        <v>0.65909090909090906</v>
      </c>
      <c r="L5" s="8">
        <f t="shared" si="2"/>
        <v>0.78985507246376807</v>
      </c>
      <c r="M5" s="8">
        <f t="shared" si="2"/>
        <v>0.81025641025641026</v>
      </c>
      <c r="N5" s="8">
        <f t="shared" si="2"/>
        <v>0.86263736263736268</v>
      </c>
      <c r="O5" s="8">
        <f t="shared" si="2"/>
        <v>0.89573459715639814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4215-91D2-4281-B307-E5C56AEB38F3}">
  <dimension ref="A1:N2"/>
  <sheetViews>
    <sheetView zoomScale="70" zoomScaleNormal="70" workbookViewId="0">
      <selection activeCell="A26" sqref="A26:XFD48"/>
    </sheetView>
  </sheetViews>
  <sheetFormatPr defaultRowHeight="14.1"/>
  <sheetData>
    <row r="1" spans="1:14">
      <c r="A1" t="s">
        <v>601</v>
      </c>
      <c r="M1" t="s">
        <v>163</v>
      </c>
      <c r="N1" t="s">
        <v>161</v>
      </c>
    </row>
    <row r="2" spans="1:14">
      <c r="M2" t="s">
        <v>164</v>
      </c>
      <c r="N2" s="23" t="s">
        <v>162</v>
      </c>
    </row>
  </sheetData>
  <phoneticPr fontId="4" type="noConversion"/>
  <hyperlinks>
    <hyperlink ref="N2" r:id="rId1" display="https://max.book118.com/html/2025/0523/5103211040012211.shtm" xr:uid="{CFD66A3C-8798-41C8-A918-AA0CAB63B194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12B8-18BC-4146-9AB7-AD200914FBB0}">
  <dimension ref="A1:Q6"/>
  <sheetViews>
    <sheetView workbookViewId="0">
      <selection activeCell="K5" sqref="K4:L5"/>
    </sheetView>
  </sheetViews>
  <sheetFormatPr defaultRowHeight="14.1"/>
  <sheetData>
    <row r="1" spans="1:17" ht="36.9">
      <c r="A1" s="9" t="s">
        <v>98</v>
      </c>
      <c r="B1" s="9" t="s">
        <v>99</v>
      </c>
      <c r="C1" s="9" t="s">
        <v>100</v>
      </c>
      <c r="D1" s="9" t="s">
        <v>101</v>
      </c>
      <c r="E1" s="9" t="s">
        <v>99</v>
      </c>
      <c r="F1" s="9" t="s">
        <v>100</v>
      </c>
      <c r="G1" s="9" t="s">
        <v>102</v>
      </c>
      <c r="H1" s="9" t="s">
        <v>99</v>
      </c>
      <c r="I1" s="9" t="s">
        <v>103</v>
      </c>
      <c r="L1" s="9" t="s">
        <v>98</v>
      </c>
      <c r="M1" s="9" t="s">
        <v>100</v>
      </c>
      <c r="N1" s="9" t="s">
        <v>101</v>
      </c>
      <c r="O1" s="9" t="s">
        <v>100</v>
      </c>
      <c r="P1" s="9" t="s">
        <v>102</v>
      </c>
      <c r="Q1" s="9" t="s">
        <v>103</v>
      </c>
    </row>
    <row r="2" spans="1:17" ht="23.4" customHeight="1">
      <c r="A2" s="5" t="s">
        <v>104</v>
      </c>
      <c r="B2" s="5"/>
      <c r="C2" s="5"/>
      <c r="D2" s="5"/>
      <c r="E2" s="5" t="s">
        <v>105</v>
      </c>
      <c r="F2" s="5"/>
      <c r="G2" s="5"/>
      <c r="L2" s="9" t="s">
        <v>106</v>
      </c>
      <c r="M2" s="17">
        <v>0.4</v>
      </c>
      <c r="N2" s="9" t="s">
        <v>108</v>
      </c>
      <c r="O2" s="17">
        <v>0.15</v>
      </c>
      <c r="P2" s="3" t="s">
        <v>110</v>
      </c>
      <c r="Q2" s="17">
        <v>0.2</v>
      </c>
    </row>
    <row r="3" spans="1:17" ht="110.7">
      <c r="A3" s="9" t="s">
        <v>106</v>
      </c>
      <c r="B3" s="9" t="s">
        <v>107</v>
      </c>
      <c r="C3" s="17">
        <v>0.4</v>
      </c>
      <c r="D3" s="9" t="s">
        <v>108</v>
      </c>
      <c r="E3" s="9" t="s">
        <v>109</v>
      </c>
      <c r="F3" s="17">
        <v>0.15</v>
      </c>
      <c r="G3" s="3" t="s">
        <v>110</v>
      </c>
      <c r="H3" s="9" t="s">
        <v>111</v>
      </c>
      <c r="I3" s="17">
        <v>0.2</v>
      </c>
      <c r="L3" s="9" t="s">
        <v>112</v>
      </c>
      <c r="M3" s="17">
        <v>0.3</v>
      </c>
      <c r="N3" s="9" t="s">
        <v>113</v>
      </c>
      <c r="O3" s="17">
        <v>0.1</v>
      </c>
      <c r="P3" s="3" t="s">
        <v>115</v>
      </c>
      <c r="Q3" s="17">
        <v>0.15</v>
      </c>
    </row>
    <row r="4" spans="1:17" ht="61.5">
      <c r="A4" s="9" t="s">
        <v>112</v>
      </c>
      <c r="B4" s="10"/>
      <c r="C4" s="17">
        <v>0.3</v>
      </c>
      <c r="D4" s="9" t="s">
        <v>113</v>
      </c>
      <c r="E4" s="9" t="s">
        <v>114</v>
      </c>
      <c r="F4" s="17">
        <v>0.1</v>
      </c>
      <c r="G4" s="3" t="s">
        <v>115</v>
      </c>
      <c r="H4" s="9" t="s">
        <v>116</v>
      </c>
      <c r="I4" s="17">
        <v>0.15</v>
      </c>
      <c r="L4" s="9" t="s">
        <v>122</v>
      </c>
      <c r="M4" s="17">
        <v>0.3</v>
      </c>
      <c r="N4" s="9" t="s">
        <v>122</v>
      </c>
      <c r="O4" s="17">
        <v>0.4</v>
      </c>
      <c r="P4" s="9" t="s">
        <v>123</v>
      </c>
      <c r="Q4" s="17">
        <v>0.4</v>
      </c>
    </row>
    <row r="5" spans="1:17" ht="135.30000000000001">
      <c r="A5" s="10"/>
      <c r="B5" s="10"/>
      <c r="C5" s="10"/>
      <c r="D5" s="3" t="s">
        <v>117</v>
      </c>
      <c r="E5" s="9" t="s">
        <v>118</v>
      </c>
      <c r="F5" s="17">
        <v>0.35</v>
      </c>
      <c r="G5" s="3" t="s">
        <v>119</v>
      </c>
      <c r="H5" s="9" t="s">
        <v>120</v>
      </c>
      <c r="I5" s="3" t="s">
        <v>121</v>
      </c>
      <c r="N5" s="3" t="s">
        <v>117</v>
      </c>
      <c r="O5" s="17">
        <v>0.35</v>
      </c>
      <c r="P5" s="3" t="s">
        <v>119</v>
      </c>
      <c r="Q5" s="18">
        <v>0.25</v>
      </c>
    </row>
    <row r="6" spans="1:17" ht="49.2">
      <c r="A6" s="9" t="s">
        <v>122</v>
      </c>
      <c r="B6" s="10"/>
      <c r="C6" s="17">
        <v>0.3</v>
      </c>
      <c r="D6" s="9" t="s">
        <v>122</v>
      </c>
      <c r="E6" s="10"/>
      <c r="F6" s="17">
        <v>0.4</v>
      </c>
      <c r="G6" s="9" t="s">
        <v>123</v>
      </c>
      <c r="H6" s="10"/>
      <c r="I6" s="17">
        <v>0.4</v>
      </c>
    </row>
  </sheetData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64FD-5A10-4715-8499-44C9CD4E508D}">
  <dimension ref="A1"/>
  <sheetViews>
    <sheetView zoomScale="70" zoomScaleNormal="70" workbookViewId="0"/>
  </sheetViews>
  <sheetFormatPr defaultRowHeight="14.1"/>
  <sheetData/>
  <phoneticPr fontId="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3DEF-86B9-4584-8F27-B2110F0E01CF}">
  <dimension ref="A1:BK22"/>
  <sheetViews>
    <sheetView topLeftCell="D1" zoomScaleNormal="100" workbookViewId="0">
      <selection activeCell="R4" sqref="R4"/>
    </sheetView>
  </sheetViews>
  <sheetFormatPr defaultRowHeight="14.1"/>
  <cols>
    <col min="40" max="40" width="23.546875" bestFit="1" customWidth="1"/>
    <col min="47" max="47" width="31.8984375" bestFit="1" customWidth="1"/>
  </cols>
  <sheetData>
    <row r="1" spans="1:63">
      <c r="A1" t="s">
        <v>326</v>
      </c>
      <c r="N1" t="s">
        <v>326</v>
      </c>
      <c r="R1" t="s">
        <v>605</v>
      </c>
      <c r="T1" t="s">
        <v>332</v>
      </c>
      <c r="AB1" s="33"/>
      <c r="AC1" t="s">
        <v>388</v>
      </c>
      <c r="AD1" t="s">
        <v>389</v>
      </c>
      <c r="AF1" s="33"/>
      <c r="AG1" t="s">
        <v>388</v>
      </c>
      <c r="AH1" t="s">
        <v>389</v>
      </c>
      <c r="AN1" t="s">
        <v>604</v>
      </c>
      <c r="AO1" t="s">
        <v>608</v>
      </c>
      <c r="AP1" t="s">
        <v>609</v>
      </c>
      <c r="AQ1" t="s">
        <v>610</v>
      </c>
      <c r="AR1" t="s">
        <v>613</v>
      </c>
      <c r="AS1" t="s">
        <v>612</v>
      </c>
      <c r="AT1" t="s">
        <v>614</v>
      </c>
      <c r="AU1" t="s">
        <v>616</v>
      </c>
      <c r="AV1" t="s">
        <v>617</v>
      </c>
      <c r="AW1" t="s">
        <v>618</v>
      </c>
      <c r="AX1" t="s">
        <v>620</v>
      </c>
      <c r="AY1" t="s">
        <v>619</v>
      </c>
      <c r="BD1" t="s">
        <v>626</v>
      </c>
    </row>
    <row r="2" spans="1:63" ht="90.9">
      <c r="A2" s="32" t="s">
        <v>267</v>
      </c>
      <c r="B2" s="32" t="s">
        <v>268</v>
      </c>
      <c r="C2" s="32" t="s">
        <v>269</v>
      </c>
      <c r="D2" s="32" t="s">
        <v>270</v>
      </c>
      <c r="E2" s="32" t="s">
        <v>271</v>
      </c>
      <c r="F2" s="32" t="s">
        <v>272</v>
      </c>
      <c r="G2" s="32" t="s">
        <v>5</v>
      </c>
      <c r="H2" s="32" t="s">
        <v>273</v>
      </c>
      <c r="I2" s="32" t="s">
        <v>274</v>
      </c>
      <c r="J2" s="32" t="s">
        <v>275</v>
      </c>
      <c r="K2" s="32" t="s">
        <v>276</v>
      </c>
      <c r="N2" s="32" t="s">
        <v>267</v>
      </c>
      <c r="O2" s="32" t="s">
        <v>328</v>
      </c>
      <c r="P2" s="32" t="s">
        <v>327</v>
      </c>
      <c r="R2" s="23" t="s">
        <v>689</v>
      </c>
      <c r="T2" s="32" t="s">
        <v>333</v>
      </c>
      <c r="U2" s="32" t="s">
        <v>334</v>
      </c>
      <c r="V2" s="32" t="s">
        <v>335</v>
      </c>
      <c r="W2" s="32" t="s">
        <v>336</v>
      </c>
      <c r="X2" s="32" t="s">
        <v>337</v>
      </c>
      <c r="Y2" s="32" t="s">
        <v>338</v>
      </c>
      <c r="AB2" s="32" t="s">
        <v>390</v>
      </c>
      <c r="AC2">
        <v>2.8</v>
      </c>
      <c r="AD2">
        <v>7.2</v>
      </c>
      <c r="AF2" s="36" t="s">
        <v>394</v>
      </c>
      <c r="AG2">
        <v>780</v>
      </c>
      <c r="AH2">
        <v>2500</v>
      </c>
      <c r="AM2" t="s">
        <v>589</v>
      </c>
      <c r="AN2">
        <f>6912/384</f>
        <v>18</v>
      </c>
      <c r="AO2">
        <v>10</v>
      </c>
      <c r="AP2">
        <f>AN2*AO2</f>
        <v>180</v>
      </c>
      <c r="AQ2">
        <v>800</v>
      </c>
      <c r="AS2">
        <v>559000</v>
      </c>
      <c r="AT2" s="62">
        <f>AS2/384</f>
        <v>1455.7291666666667</v>
      </c>
      <c r="AU2" s="62">
        <f>AS2/AG3/1000</f>
        <v>1.8633333333333333</v>
      </c>
      <c r="AV2" s="62">
        <f>AN2*384*AO2/AG3/1000</f>
        <v>0.23039999999999999</v>
      </c>
      <c r="AW2" s="54">
        <f>AV2/(AU2-AU3)</f>
        <v>0.21781512605042017</v>
      </c>
      <c r="AX2" s="62">
        <f>AQ2/AG2</f>
        <v>1.0256410256410255</v>
      </c>
      <c r="AY2" s="54">
        <f>(AX2-AX3)/(AU2-AU3)</f>
        <v>0.59146735617323842</v>
      </c>
      <c r="BD2" s="64" t="s">
        <v>621</v>
      </c>
      <c r="BE2" s="64" t="s">
        <v>622</v>
      </c>
      <c r="BF2" s="64" t="s">
        <v>623</v>
      </c>
      <c r="BG2" s="64" t="s">
        <v>624</v>
      </c>
      <c r="BH2" s="64" t="s">
        <v>625</v>
      </c>
    </row>
    <row r="3" spans="1:63" ht="93">
      <c r="A3" s="33" t="s">
        <v>277</v>
      </c>
      <c r="B3" s="33" t="s">
        <v>278</v>
      </c>
      <c r="C3" s="33">
        <v>2024</v>
      </c>
      <c r="D3" s="33">
        <v>20480</v>
      </c>
      <c r="E3" s="33">
        <v>256</v>
      </c>
      <c r="F3" s="33" t="s">
        <v>279</v>
      </c>
      <c r="G3" s="33" t="s">
        <v>280</v>
      </c>
      <c r="H3" s="33" t="s">
        <v>281</v>
      </c>
      <c r="I3" s="33" t="s">
        <v>282</v>
      </c>
      <c r="J3" s="33" t="s">
        <v>283</v>
      </c>
      <c r="K3" s="33" t="s">
        <v>284</v>
      </c>
      <c r="N3" s="33" t="s">
        <v>277</v>
      </c>
      <c r="O3" s="33">
        <v>1800</v>
      </c>
      <c r="P3" s="33" t="s">
        <v>329</v>
      </c>
      <c r="R3" s="23" t="s">
        <v>606</v>
      </c>
      <c r="T3" s="33" t="s">
        <v>339</v>
      </c>
      <c r="U3" s="33" t="s">
        <v>392</v>
      </c>
      <c r="V3" s="33" t="s">
        <v>393</v>
      </c>
      <c r="W3" s="34">
        <v>2500</v>
      </c>
      <c r="X3" s="33">
        <v>780</v>
      </c>
      <c r="Y3" s="33" t="s">
        <v>341</v>
      </c>
      <c r="AB3" t="s">
        <v>391</v>
      </c>
      <c r="AC3">
        <v>1.075</v>
      </c>
      <c r="AD3">
        <v>0.51800000000000002</v>
      </c>
      <c r="AF3" s="36" t="s">
        <v>395</v>
      </c>
      <c r="AG3">
        <v>300</v>
      </c>
      <c r="AH3">
        <v>180</v>
      </c>
      <c r="AM3" t="s">
        <v>611</v>
      </c>
      <c r="AQ3">
        <v>1000</v>
      </c>
      <c r="AS3">
        <v>145000</v>
      </c>
      <c r="AT3" s="62">
        <f>AS3/72</f>
        <v>2013.8888888888889</v>
      </c>
      <c r="AU3" s="62">
        <f>AS3/AH3/1000</f>
        <v>0.80555555555555558</v>
      </c>
      <c r="AX3" s="62">
        <f>AQ3/AH2</f>
        <v>0.4</v>
      </c>
      <c r="BD3" s="63">
        <v>1.86</v>
      </c>
      <c r="BE3" s="63">
        <v>0.23</v>
      </c>
      <c r="BF3" s="63">
        <v>0.63</v>
      </c>
      <c r="BG3" s="63">
        <v>0.19000000000000006</v>
      </c>
      <c r="BH3" s="63">
        <v>0.81</v>
      </c>
      <c r="BK3">
        <f>BD3/BH3</f>
        <v>2.2962962962962963</v>
      </c>
    </row>
    <row r="4" spans="1:63" ht="69">
      <c r="A4" s="33" t="s">
        <v>285</v>
      </c>
      <c r="B4" s="33" t="s">
        <v>286</v>
      </c>
      <c r="C4" s="33">
        <v>2024</v>
      </c>
      <c r="D4" s="33">
        <v>18000</v>
      </c>
      <c r="E4" s="33" t="s">
        <v>287</v>
      </c>
      <c r="F4" s="33" t="s">
        <v>288</v>
      </c>
      <c r="G4" s="33" t="s">
        <v>289</v>
      </c>
      <c r="H4" s="33" t="s">
        <v>290</v>
      </c>
      <c r="I4" s="33" t="s">
        <v>291</v>
      </c>
      <c r="J4" s="33" t="s">
        <v>292</v>
      </c>
      <c r="K4" s="33" t="s">
        <v>293</v>
      </c>
      <c r="N4" s="33" t="s">
        <v>19</v>
      </c>
      <c r="O4" s="33">
        <v>900</v>
      </c>
      <c r="P4" s="33" t="s">
        <v>331</v>
      </c>
      <c r="R4" t="s">
        <v>389</v>
      </c>
      <c r="T4" s="33"/>
      <c r="U4" s="33" t="s">
        <v>342</v>
      </c>
      <c r="V4" s="33" t="s">
        <v>343</v>
      </c>
      <c r="W4" s="33">
        <v>192</v>
      </c>
      <c r="X4" s="33">
        <v>128</v>
      </c>
      <c r="Y4" s="33" t="s">
        <v>344</v>
      </c>
    </row>
    <row r="5" spans="1:63" ht="82.8">
      <c r="A5" s="33" t="s">
        <v>19</v>
      </c>
      <c r="B5" s="33" t="s">
        <v>286</v>
      </c>
      <c r="C5" s="33">
        <v>2022</v>
      </c>
      <c r="D5" s="33">
        <v>16896</v>
      </c>
      <c r="E5" s="33" t="s">
        <v>294</v>
      </c>
      <c r="F5" s="33" t="s">
        <v>295</v>
      </c>
      <c r="G5" s="33" t="s">
        <v>296</v>
      </c>
      <c r="H5" s="33" t="s">
        <v>290</v>
      </c>
      <c r="I5" s="33" t="s">
        <v>297</v>
      </c>
      <c r="J5" s="33" t="s">
        <v>298</v>
      </c>
      <c r="K5" s="33" t="s">
        <v>299</v>
      </c>
      <c r="N5" s="33" t="s">
        <v>308</v>
      </c>
      <c r="O5" s="33">
        <v>400</v>
      </c>
      <c r="P5" s="33" t="s">
        <v>330</v>
      </c>
      <c r="R5" t="s">
        <v>615</v>
      </c>
      <c r="T5" s="33"/>
      <c r="U5" s="33" t="s">
        <v>345</v>
      </c>
      <c r="V5" s="33" t="s">
        <v>346</v>
      </c>
      <c r="W5" s="33">
        <v>8</v>
      </c>
      <c r="X5" s="33">
        <v>3.2</v>
      </c>
      <c r="Y5" s="33" t="s">
        <v>347</v>
      </c>
    </row>
    <row r="6" spans="1:63" ht="55.2">
      <c r="A6" s="33" t="s">
        <v>10</v>
      </c>
      <c r="B6" s="33" t="s">
        <v>300</v>
      </c>
      <c r="C6" s="33">
        <v>2020</v>
      </c>
      <c r="D6" s="33">
        <v>6912</v>
      </c>
      <c r="E6" s="33" t="s">
        <v>301</v>
      </c>
      <c r="F6" s="33" t="s">
        <v>302</v>
      </c>
      <c r="G6" s="33" t="s">
        <v>303</v>
      </c>
      <c r="H6" s="33" t="s">
        <v>304</v>
      </c>
      <c r="I6" s="33" t="s">
        <v>305</v>
      </c>
      <c r="J6" s="33" t="s">
        <v>306</v>
      </c>
      <c r="K6" s="33" t="s">
        <v>307</v>
      </c>
      <c r="N6" s="33" t="s">
        <v>319</v>
      </c>
      <c r="O6" s="33">
        <v>200</v>
      </c>
      <c r="P6" s="33" t="s">
        <v>330</v>
      </c>
      <c r="T6" s="33"/>
      <c r="U6" s="33" t="s">
        <v>348</v>
      </c>
      <c r="V6" s="33" t="s">
        <v>349</v>
      </c>
      <c r="W6" s="33" t="s">
        <v>350</v>
      </c>
      <c r="X6" s="33" t="s">
        <v>351</v>
      </c>
      <c r="Y6" s="33" t="s">
        <v>352</v>
      </c>
      <c r="AY6">
        <f>AX2-AX3</f>
        <v>0.62564102564102553</v>
      </c>
    </row>
    <row r="7" spans="1:63" ht="69">
      <c r="A7" s="33" t="s">
        <v>308</v>
      </c>
      <c r="B7" s="33" t="s">
        <v>286</v>
      </c>
      <c r="C7" s="33">
        <v>2023</v>
      </c>
      <c r="D7" s="33">
        <v>16896</v>
      </c>
      <c r="E7" s="33" t="s">
        <v>294</v>
      </c>
      <c r="F7" s="33" t="s">
        <v>295</v>
      </c>
      <c r="G7" s="33" t="s">
        <v>309</v>
      </c>
      <c r="H7" s="33" t="s">
        <v>310</v>
      </c>
      <c r="I7" s="33" t="s">
        <v>311</v>
      </c>
      <c r="J7" s="33" t="s">
        <v>312</v>
      </c>
      <c r="K7" s="33" t="s">
        <v>313</v>
      </c>
      <c r="T7" s="33"/>
      <c r="U7" s="33" t="s">
        <v>353</v>
      </c>
      <c r="V7" s="33" t="s">
        <v>349</v>
      </c>
      <c r="W7" s="33" t="s">
        <v>354</v>
      </c>
      <c r="X7" s="33" t="s">
        <v>354</v>
      </c>
      <c r="Y7" s="33" t="s">
        <v>355</v>
      </c>
    </row>
    <row r="8" spans="1:63" ht="82.8">
      <c r="A8" s="33" t="s">
        <v>314</v>
      </c>
      <c r="B8" s="33" t="s">
        <v>300</v>
      </c>
      <c r="C8" s="33">
        <v>2023</v>
      </c>
      <c r="D8" s="33">
        <v>6912</v>
      </c>
      <c r="E8" s="33" t="s">
        <v>301</v>
      </c>
      <c r="F8" s="33" t="s">
        <v>302</v>
      </c>
      <c r="G8" s="33" t="s">
        <v>303</v>
      </c>
      <c r="H8" s="33" t="s">
        <v>315</v>
      </c>
      <c r="I8" s="33" t="s">
        <v>316</v>
      </c>
      <c r="J8" s="33" t="s">
        <v>317</v>
      </c>
      <c r="K8" s="33" t="s">
        <v>318</v>
      </c>
      <c r="AB8" s="49"/>
      <c r="AC8" s="48"/>
      <c r="AD8" s="48"/>
    </row>
    <row r="9" spans="1:63" ht="82.8">
      <c r="A9" s="33" t="s">
        <v>319</v>
      </c>
      <c r="B9" s="33" t="s">
        <v>286</v>
      </c>
      <c r="C9" s="33">
        <v>2024</v>
      </c>
      <c r="D9" s="33">
        <v>11008</v>
      </c>
      <c r="E9" s="33" t="s">
        <v>320</v>
      </c>
      <c r="F9" s="33" t="s">
        <v>321</v>
      </c>
      <c r="G9" s="33" t="s">
        <v>303</v>
      </c>
      <c r="H9" s="33" t="s">
        <v>322</v>
      </c>
      <c r="I9" s="33" t="s">
        <v>323</v>
      </c>
      <c r="J9" s="33" t="s">
        <v>324</v>
      </c>
      <c r="K9" s="33" t="s">
        <v>325</v>
      </c>
    </row>
    <row r="10" spans="1:63">
      <c r="T10" s="33"/>
      <c r="U10" s="33"/>
      <c r="V10" s="33"/>
      <c r="W10" s="33"/>
      <c r="X10" s="33"/>
      <c r="Y10" s="33"/>
    </row>
    <row r="11" spans="1:63" ht="41.4">
      <c r="T11" s="33" t="s">
        <v>356</v>
      </c>
      <c r="U11" s="33" t="s">
        <v>340</v>
      </c>
      <c r="V11" s="33" t="s">
        <v>357</v>
      </c>
      <c r="W11" s="33">
        <v>180</v>
      </c>
      <c r="X11" s="33">
        <v>300</v>
      </c>
      <c r="Y11" s="33" t="s">
        <v>358</v>
      </c>
    </row>
    <row r="12" spans="1:63" ht="27.6">
      <c r="T12" s="33"/>
      <c r="U12" s="33" t="s">
        <v>359</v>
      </c>
      <c r="V12" s="33" t="s">
        <v>360</v>
      </c>
      <c r="W12" s="33">
        <v>13.8</v>
      </c>
      <c r="X12" s="33">
        <v>49.2</v>
      </c>
      <c r="Y12" s="33" t="s">
        <v>361</v>
      </c>
    </row>
    <row r="13" spans="1:63" ht="27.6">
      <c r="T13" s="33"/>
      <c r="U13" s="33" t="s">
        <v>362</v>
      </c>
      <c r="V13" s="33" t="s">
        <v>346</v>
      </c>
      <c r="W13" s="33">
        <v>576</v>
      </c>
      <c r="X13" s="34">
        <v>1229</v>
      </c>
      <c r="Y13" s="33" t="s">
        <v>363</v>
      </c>
    </row>
    <row r="14" spans="1:63" ht="32.4">
      <c r="T14" s="33"/>
      <c r="U14" s="33" t="s">
        <v>364</v>
      </c>
      <c r="V14" s="33" t="s">
        <v>349</v>
      </c>
      <c r="W14" s="33" t="s">
        <v>365</v>
      </c>
      <c r="X14" s="33" t="s">
        <v>366</v>
      </c>
      <c r="Y14" s="33" t="s">
        <v>367</v>
      </c>
    </row>
    <row r="15" spans="1:63" ht="32.4">
      <c r="T15" s="33"/>
      <c r="U15" s="33" t="s">
        <v>368</v>
      </c>
      <c r="V15" s="33" t="s">
        <v>369</v>
      </c>
      <c r="W15" s="33" t="s">
        <v>370</v>
      </c>
      <c r="X15" s="33" t="s">
        <v>371</v>
      </c>
      <c r="Y15" s="33" t="s">
        <v>372</v>
      </c>
    </row>
    <row r="16" spans="1:63" ht="32.4">
      <c r="T16" s="33"/>
      <c r="U16" s="33" t="s">
        <v>373</v>
      </c>
      <c r="V16" s="33" t="s">
        <v>349</v>
      </c>
      <c r="W16" s="33" t="s">
        <v>374</v>
      </c>
      <c r="X16" s="33" t="s">
        <v>375</v>
      </c>
      <c r="Y16" s="33" t="s">
        <v>372</v>
      </c>
    </row>
    <row r="17" spans="20:39" ht="27.6">
      <c r="T17" s="33"/>
      <c r="U17" s="33" t="s">
        <v>376</v>
      </c>
      <c r="V17" s="33" t="s">
        <v>377</v>
      </c>
      <c r="W17" s="34">
        <v>145000</v>
      </c>
      <c r="X17" s="34">
        <v>559378</v>
      </c>
      <c r="Y17" s="33" t="s">
        <v>378</v>
      </c>
    </row>
    <row r="18" spans="20:39" ht="27.6">
      <c r="T18" s="33"/>
      <c r="U18" s="33" t="s">
        <v>379</v>
      </c>
      <c r="V18" s="33" t="s">
        <v>380</v>
      </c>
      <c r="W18" s="33">
        <v>0.81</v>
      </c>
      <c r="X18" s="33">
        <v>1.87</v>
      </c>
      <c r="Y18" s="33" t="s">
        <v>381</v>
      </c>
    </row>
    <row r="19" spans="20:39" ht="27.6">
      <c r="T19" s="33"/>
      <c r="U19" s="33" t="s">
        <v>382</v>
      </c>
      <c r="V19" s="33" t="s">
        <v>383</v>
      </c>
      <c r="W19" s="33">
        <v>251.7</v>
      </c>
      <c r="X19" s="33">
        <v>455.2</v>
      </c>
      <c r="Y19" s="33" t="s">
        <v>384</v>
      </c>
    </row>
    <row r="20" spans="20:39" ht="409.5">
      <c r="T20" s="33"/>
      <c r="U20" s="33" t="s">
        <v>385</v>
      </c>
      <c r="V20" s="33" t="s">
        <v>386</v>
      </c>
      <c r="W20" s="33">
        <v>10.5</v>
      </c>
      <c r="X20" s="33">
        <v>11.4</v>
      </c>
      <c r="Y20" s="33" t="s">
        <v>387</v>
      </c>
      <c r="AM20" s="42" t="s">
        <v>607</v>
      </c>
    </row>
    <row r="22" spans="20:39">
      <c r="T22" s="35"/>
    </row>
  </sheetData>
  <phoneticPr fontId="4" type="noConversion"/>
  <hyperlinks>
    <hyperlink ref="R3" r:id="rId1" display="https://news.qq.com/rain/a/20250821A09AGV00" xr:uid="{CEA815FF-649D-478B-8FAA-0E9006A78BDE}"/>
    <hyperlink ref="R2" r:id="rId2" xr:uid="{30BA32E1-97FD-4821-84A2-2005363BC598}"/>
  </hyperlink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FCE7-CA33-46AB-88E7-86EE45A2C102}">
  <dimension ref="A1:R178"/>
  <sheetViews>
    <sheetView topLeftCell="A32" zoomScale="115" zoomScaleNormal="115" workbookViewId="0">
      <selection activeCell="G110" sqref="G110:J118"/>
    </sheetView>
  </sheetViews>
  <sheetFormatPr defaultRowHeight="14.1"/>
  <cols>
    <col min="1" max="1" width="19.84765625" customWidth="1"/>
    <col min="2" max="2" width="34.44921875" customWidth="1"/>
    <col min="3" max="3" width="18.44921875" bestFit="1" customWidth="1"/>
    <col min="4" max="4" width="12.6484375" bestFit="1" customWidth="1"/>
    <col min="11" max="11" width="17.6484375" bestFit="1" customWidth="1"/>
    <col min="12" max="12" width="52.19921875" customWidth="1"/>
    <col min="13" max="13" width="24.59765625" customWidth="1"/>
    <col min="14" max="14" width="26.3984375" bestFit="1" customWidth="1"/>
    <col min="15" max="15" width="17.94921875" bestFit="1" customWidth="1"/>
    <col min="17" max="17" width="13.1484375" bestFit="1" customWidth="1"/>
  </cols>
  <sheetData>
    <row r="1" spans="1:16">
      <c r="A1" t="s">
        <v>627</v>
      </c>
      <c r="O1" t="s">
        <v>657</v>
      </c>
      <c r="P1" t="s">
        <v>661</v>
      </c>
    </row>
    <row r="2" spans="1:16">
      <c r="N2" t="s">
        <v>664</v>
      </c>
      <c r="O2" t="s">
        <v>658</v>
      </c>
      <c r="P2" t="s">
        <v>662</v>
      </c>
    </row>
    <row r="3" spans="1:16" ht="14.4">
      <c r="A3" s="65" t="s">
        <v>646</v>
      </c>
      <c r="B3" s="65" t="s">
        <v>628</v>
      </c>
      <c r="L3" t="s">
        <v>629</v>
      </c>
      <c r="N3" t="s">
        <v>659</v>
      </c>
      <c r="O3" t="s">
        <v>660</v>
      </c>
    </row>
    <row r="4" spans="1:16" ht="28.8">
      <c r="B4" s="65"/>
      <c r="L4" s="66" t="s">
        <v>630</v>
      </c>
      <c r="M4" s="66"/>
      <c r="N4" t="s">
        <v>663</v>
      </c>
      <c r="O4" s="8">
        <v>0.19</v>
      </c>
      <c r="P4" t="s">
        <v>665</v>
      </c>
    </row>
    <row r="5" spans="1:16" ht="14.4">
      <c r="B5" s="65"/>
      <c r="L5" s="66" t="s">
        <v>631</v>
      </c>
      <c r="M5" s="66"/>
    </row>
    <row r="6" spans="1:16" ht="14.4">
      <c r="B6" s="65"/>
      <c r="L6" s="66" t="s">
        <v>632</v>
      </c>
      <c r="M6" s="66"/>
    </row>
    <row r="7" spans="1:16" ht="28.8">
      <c r="L7" s="66" t="s">
        <v>633</v>
      </c>
      <c r="M7" s="66"/>
    </row>
    <row r="8" spans="1:16" ht="28.8">
      <c r="L8" s="66" t="s">
        <v>634</v>
      </c>
      <c r="M8" s="66"/>
    </row>
    <row r="9" spans="1:16" ht="28.8">
      <c r="L9" s="66" t="s">
        <v>635</v>
      </c>
      <c r="M9" s="66"/>
    </row>
    <row r="31" spans="1:1">
      <c r="A31" t="s">
        <v>602</v>
      </c>
    </row>
    <row r="32" spans="1:1">
      <c r="A32" t="s">
        <v>251</v>
      </c>
    </row>
    <row r="34" spans="2:2">
      <c r="B34" t="s">
        <v>603</v>
      </c>
    </row>
    <row r="54" spans="1:2">
      <c r="A54" t="s">
        <v>75</v>
      </c>
      <c r="B54" t="s">
        <v>656</v>
      </c>
    </row>
    <row r="75" spans="1:8">
      <c r="A75" t="s">
        <v>644</v>
      </c>
    </row>
    <row r="76" spans="1:8">
      <c r="A76" s="67"/>
    </row>
    <row r="77" spans="1:8">
      <c r="A77" s="67"/>
    </row>
    <row r="78" spans="1:8">
      <c r="A78" s="67"/>
    </row>
    <row r="79" spans="1:8">
      <c r="A79" s="67" t="s">
        <v>46</v>
      </c>
      <c r="B79" s="67" t="s">
        <v>638</v>
      </c>
      <c r="C79" s="67" t="s">
        <v>637</v>
      </c>
      <c r="F79" s="67"/>
      <c r="G79" s="67" t="s">
        <v>638</v>
      </c>
      <c r="H79" s="67" t="s">
        <v>637</v>
      </c>
    </row>
    <row r="80" spans="1:8">
      <c r="A80" s="67">
        <v>2026</v>
      </c>
      <c r="B80" s="67">
        <v>6</v>
      </c>
      <c r="C80" s="67">
        <v>839</v>
      </c>
      <c r="F80" s="67"/>
      <c r="G80" s="67">
        <v>6</v>
      </c>
      <c r="H80" s="67">
        <v>750</v>
      </c>
    </row>
    <row r="81" spans="1:8">
      <c r="A81" s="67">
        <v>2027</v>
      </c>
      <c r="B81" s="67"/>
      <c r="C81" s="67"/>
      <c r="F81" s="67"/>
      <c r="G81" s="67"/>
      <c r="H81" s="67"/>
    </row>
    <row r="82" spans="1:8">
      <c r="A82" s="67">
        <v>2028</v>
      </c>
      <c r="B82" s="67" t="s">
        <v>639</v>
      </c>
      <c r="C82" s="67" t="s">
        <v>641</v>
      </c>
      <c r="F82" s="67" t="s">
        <v>636</v>
      </c>
      <c r="G82" s="67" t="s">
        <v>640</v>
      </c>
      <c r="H82" s="67" t="s">
        <v>642</v>
      </c>
    </row>
    <row r="83" spans="1:8">
      <c r="A83" s="67">
        <v>2029</v>
      </c>
      <c r="B83" s="67">
        <v>10</v>
      </c>
      <c r="C83" s="68">
        <f>B83/$C$80*$B$80</f>
        <v>7.1513706793802145E-2</v>
      </c>
      <c r="F83" s="67" t="s">
        <v>198</v>
      </c>
      <c r="G83" s="67">
        <v>0</v>
      </c>
      <c r="H83" s="68">
        <f>G83/$H$80*$G$80</f>
        <v>0</v>
      </c>
    </row>
    <row r="84" spans="1:8">
      <c r="A84" s="67">
        <v>2030</v>
      </c>
      <c r="B84" s="67">
        <v>38</v>
      </c>
      <c r="C84" s="68">
        <f>B84/$C$80*$B$80</f>
        <v>0.27175208581644816</v>
      </c>
      <c r="F84" s="67" t="s">
        <v>199</v>
      </c>
      <c r="G84" s="67">
        <v>22</v>
      </c>
      <c r="H84" s="68">
        <f>G84/$H$80*$G$80</f>
        <v>0.17599999999999999</v>
      </c>
    </row>
    <row r="85" spans="1:8">
      <c r="A85" s="67"/>
      <c r="B85" s="67">
        <v>179</v>
      </c>
      <c r="C85" s="68">
        <f>B85/$C$80*$B$80</f>
        <v>1.2800953516090585</v>
      </c>
      <c r="F85" s="67" t="s">
        <v>226</v>
      </c>
      <c r="G85" s="67">
        <v>101</v>
      </c>
      <c r="H85" s="68">
        <f>G85/$H$80*$G$80</f>
        <v>0.80799999999999994</v>
      </c>
    </row>
    <row r="86" spans="1:8">
      <c r="A86" s="67" t="s">
        <v>645</v>
      </c>
      <c r="B86" s="67">
        <v>461</v>
      </c>
      <c r="C86" s="68">
        <f>B86/$C$80*$B$80</f>
        <v>3.2967818831942788</v>
      </c>
      <c r="F86" s="67" t="s">
        <v>227</v>
      </c>
      <c r="G86" s="67">
        <v>557</v>
      </c>
      <c r="H86" s="68">
        <f>G86/$H$80*$G$80</f>
        <v>4.4560000000000004</v>
      </c>
    </row>
    <row r="87" spans="1:8">
      <c r="A87" s="15"/>
      <c r="B87" s="67">
        <v>760</v>
      </c>
      <c r="C87" s="68">
        <f>B87/$C$80*$B$80</f>
        <v>5.4350417163289624</v>
      </c>
      <c r="F87" s="67" t="s">
        <v>643</v>
      </c>
      <c r="G87" s="67">
        <f>SUM(G83:G86)</f>
        <v>680</v>
      </c>
      <c r="H87" s="68">
        <f>G87/$H$80*$G$80</f>
        <v>5.4399999999999995</v>
      </c>
    </row>
    <row r="88" spans="1:8">
      <c r="B88" s="67"/>
      <c r="C88" s="68"/>
      <c r="F88" s="67"/>
      <c r="G88" s="67"/>
      <c r="H88" s="68"/>
    </row>
    <row r="89" spans="1:8">
      <c r="B89" s="67"/>
      <c r="C89" s="67"/>
    </row>
    <row r="90" spans="1:8">
      <c r="B90" s="14" t="s">
        <v>85</v>
      </c>
      <c r="C90" s="14" t="s">
        <v>86</v>
      </c>
      <c r="D90" s="14" t="s">
        <v>87</v>
      </c>
      <c r="E90" s="14" t="s">
        <v>88</v>
      </c>
    </row>
    <row r="91" spans="1:8">
      <c r="A91" s="15" t="s">
        <v>647</v>
      </c>
      <c r="B91" s="13">
        <v>0</v>
      </c>
      <c r="C91" s="16">
        <v>2.9000000000000001E-2</v>
      </c>
      <c r="D91" s="16">
        <v>9.5000000000000001E-2</v>
      </c>
      <c r="E91" s="16">
        <v>0.50600000000000001</v>
      </c>
    </row>
    <row r="109" spans="1:15">
      <c r="A109" t="s">
        <v>649</v>
      </c>
      <c r="B109" t="s">
        <v>225</v>
      </c>
      <c r="C109">
        <v>99</v>
      </c>
      <c r="M109" t="s">
        <v>667</v>
      </c>
    </row>
    <row r="110" spans="1:15">
      <c r="B110" t="s">
        <v>46</v>
      </c>
      <c r="C110" t="s">
        <v>222</v>
      </c>
      <c r="D110" t="s">
        <v>223</v>
      </c>
      <c r="E110" t="s">
        <v>224</v>
      </c>
      <c r="G110" t="s">
        <v>46</v>
      </c>
      <c r="H110" t="s">
        <v>199</v>
      </c>
      <c r="I110" t="s">
        <v>226</v>
      </c>
      <c r="J110" t="s">
        <v>227</v>
      </c>
      <c r="N110" t="s">
        <v>199</v>
      </c>
      <c r="O110" t="s">
        <v>226</v>
      </c>
    </row>
    <row r="111" spans="1:15">
      <c r="B111">
        <v>2022</v>
      </c>
      <c r="C111">
        <v>0</v>
      </c>
      <c r="D111">
        <v>0</v>
      </c>
      <c r="G111">
        <v>2022</v>
      </c>
      <c r="H111">
        <f t="shared" ref="H111:J118" si="0">C111/$C$109*500</f>
        <v>0</v>
      </c>
      <c r="I111">
        <f t="shared" si="0"/>
        <v>0</v>
      </c>
      <c r="J111">
        <f t="shared" si="0"/>
        <v>0</v>
      </c>
      <c r="M111">
        <v>2025</v>
      </c>
      <c r="N111">
        <v>17.5</v>
      </c>
      <c r="O111">
        <v>1.8</v>
      </c>
    </row>
    <row r="112" spans="1:15">
      <c r="B112">
        <v>2023</v>
      </c>
      <c r="C112">
        <v>35</v>
      </c>
      <c r="D112">
        <v>0</v>
      </c>
      <c r="G112">
        <v>2023</v>
      </c>
      <c r="H112">
        <f t="shared" si="0"/>
        <v>176.76767676767676</v>
      </c>
      <c r="I112">
        <f t="shared" si="0"/>
        <v>0</v>
      </c>
      <c r="J112">
        <f t="shared" si="0"/>
        <v>0</v>
      </c>
      <c r="M112">
        <v>2026</v>
      </c>
    </row>
    <row r="113" spans="1:13">
      <c r="B113">
        <v>2024</v>
      </c>
      <c r="C113">
        <v>147</v>
      </c>
      <c r="D113">
        <v>0</v>
      </c>
      <c r="G113">
        <v>2024</v>
      </c>
      <c r="H113">
        <f t="shared" si="0"/>
        <v>742.42424242424238</v>
      </c>
      <c r="I113">
        <f t="shared" si="0"/>
        <v>0</v>
      </c>
      <c r="J113">
        <f t="shared" si="0"/>
        <v>0</v>
      </c>
      <c r="M113">
        <v>2027</v>
      </c>
    </row>
    <row r="114" spans="1:13">
      <c r="B114">
        <v>2025</v>
      </c>
      <c r="C114">
        <v>373</v>
      </c>
      <c r="D114">
        <v>52</v>
      </c>
      <c r="G114">
        <v>2025</v>
      </c>
      <c r="H114">
        <f t="shared" si="0"/>
        <v>1883.8383838383838</v>
      </c>
      <c r="I114">
        <f t="shared" si="0"/>
        <v>262.62626262626264</v>
      </c>
      <c r="J114">
        <f t="shared" si="0"/>
        <v>0</v>
      </c>
    </row>
    <row r="115" spans="1:13">
      <c r="B115">
        <v>2026</v>
      </c>
      <c r="C115">
        <v>506</v>
      </c>
      <c r="D115">
        <v>191</v>
      </c>
      <c r="E115">
        <v>0</v>
      </c>
      <c r="G115">
        <v>2026</v>
      </c>
      <c r="H115">
        <f t="shared" si="0"/>
        <v>2555.5555555555552</v>
      </c>
      <c r="I115">
        <f t="shared" si="0"/>
        <v>964.64646464646466</v>
      </c>
      <c r="J115">
        <f t="shared" si="0"/>
        <v>0</v>
      </c>
    </row>
    <row r="116" spans="1:13">
      <c r="B116">
        <v>2027</v>
      </c>
      <c r="C116">
        <v>548</v>
      </c>
      <c r="D116">
        <v>299</v>
      </c>
      <c r="E116">
        <v>37</v>
      </c>
      <c r="G116">
        <v>2027</v>
      </c>
      <c r="H116">
        <f t="shared" si="0"/>
        <v>2767.6767676767677</v>
      </c>
      <c r="I116">
        <f t="shared" si="0"/>
        <v>1510.1010101010102</v>
      </c>
      <c r="J116">
        <f t="shared" si="0"/>
        <v>186.86868686868686</v>
      </c>
    </row>
    <row r="117" spans="1:13">
      <c r="B117">
        <v>2028</v>
      </c>
      <c r="C117">
        <v>567</v>
      </c>
      <c r="D117">
        <v>496</v>
      </c>
      <c r="E117">
        <v>93</v>
      </c>
      <c r="G117">
        <v>2028</v>
      </c>
      <c r="H117">
        <f t="shared" si="0"/>
        <v>2863.636363636364</v>
      </c>
      <c r="I117">
        <f t="shared" si="0"/>
        <v>2505.0505050505053</v>
      </c>
      <c r="J117">
        <f t="shared" si="0"/>
        <v>469.69696969696975</v>
      </c>
    </row>
    <row r="118" spans="1:13">
      <c r="B118">
        <v>2029</v>
      </c>
      <c r="C118">
        <v>586</v>
      </c>
      <c r="D118">
        <v>702</v>
      </c>
      <c r="E118">
        <v>209</v>
      </c>
      <c r="G118">
        <v>2029</v>
      </c>
      <c r="H118">
        <f t="shared" si="0"/>
        <v>2959.5959595959598</v>
      </c>
      <c r="I118">
        <f t="shared" si="0"/>
        <v>3545.4545454545455</v>
      </c>
      <c r="J118">
        <f t="shared" si="0"/>
        <v>1055.5555555555557</v>
      </c>
    </row>
    <row r="120" spans="1:13">
      <c r="A120" t="s">
        <v>228</v>
      </c>
      <c r="F120" t="s">
        <v>229</v>
      </c>
    </row>
    <row r="121" spans="1:13">
      <c r="A121" t="s">
        <v>46</v>
      </c>
      <c r="B121" t="s">
        <v>199</v>
      </c>
      <c r="C121" t="s">
        <v>226</v>
      </c>
      <c r="D121" t="s">
        <v>227</v>
      </c>
      <c r="F121" t="s">
        <v>46</v>
      </c>
      <c r="G121" t="s">
        <v>199</v>
      </c>
      <c r="H121" t="s">
        <v>226</v>
      </c>
      <c r="I121" t="s">
        <v>227</v>
      </c>
    </row>
    <row r="128" spans="1:13">
      <c r="K128" t="s">
        <v>648</v>
      </c>
    </row>
    <row r="129" spans="1:11">
      <c r="A129">
        <v>2029</v>
      </c>
      <c r="B129" s="24">
        <v>2.9000000000000001E-2</v>
      </c>
      <c r="C129" s="24">
        <v>9.5000000000000001E-2</v>
      </c>
      <c r="D129" s="24">
        <v>0.50600000000000001</v>
      </c>
      <c r="F129">
        <v>2029</v>
      </c>
      <c r="G129">
        <f>B129*H118</f>
        <v>85.828282828282838</v>
      </c>
      <c r="H129">
        <f>C129*I118</f>
        <v>336.81818181818181</v>
      </c>
      <c r="I129">
        <f>D129*J118</f>
        <v>534.1111111111112</v>
      </c>
      <c r="K129" s="54">
        <f>SUM(G129:I129)/SUM(H118:J118)</f>
        <v>0.12654509018036073</v>
      </c>
    </row>
    <row r="131" spans="1:11">
      <c r="A131" t="s">
        <v>650</v>
      </c>
    </row>
    <row r="132" spans="1:11">
      <c r="A132" t="s">
        <v>666</v>
      </c>
      <c r="B132" s="69">
        <f>SUM(G129:I129)*600</f>
        <v>574054.54545454553</v>
      </c>
    </row>
    <row r="133" spans="1:11">
      <c r="B133" s="69"/>
    </row>
    <row r="138" spans="1:11">
      <c r="A138" t="s">
        <v>651</v>
      </c>
    </row>
    <row r="165" spans="1:18">
      <c r="A165" s="35"/>
    </row>
    <row r="166" spans="1:18" ht="28.2">
      <c r="A166" s="70" t="s">
        <v>422</v>
      </c>
      <c r="B166" s="70" t="s">
        <v>652</v>
      </c>
      <c r="C166" s="70" t="s">
        <v>653</v>
      </c>
      <c r="D166" s="70" t="s">
        <v>654</v>
      </c>
      <c r="K166" s="70" t="s">
        <v>422</v>
      </c>
      <c r="L166" s="70" t="s">
        <v>652</v>
      </c>
      <c r="M166" s="70"/>
      <c r="N166" s="70" t="s">
        <v>653</v>
      </c>
      <c r="O166" s="70" t="s">
        <v>654</v>
      </c>
      <c r="Q166" s="70" t="s">
        <v>655</v>
      </c>
    </row>
    <row r="167" spans="1:18">
      <c r="A167" s="71">
        <v>2024</v>
      </c>
      <c r="B167" s="73">
        <v>30569</v>
      </c>
      <c r="C167" s="73">
        <v>23069</v>
      </c>
      <c r="D167" s="73">
        <v>7500</v>
      </c>
      <c r="K167" s="71">
        <v>2024</v>
      </c>
      <c r="L167" s="72">
        <v>46</v>
      </c>
      <c r="M167" s="72"/>
      <c r="N167" s="72">
        <v>25</v>
      </c>
      <c r="O167" s="72">
        <v>21</v>
      </c>
      <c r="Q167" s="74">
        <f>L167*1000000/B167</f>
        <v>1504.7924367823612</v>
      </c>
    </row>
    <row r="168" spans="1:18">
      <c r="A168" s="71">
        <v>2025</v>
      </c>
      <c r="B168" s="73">
        <v>72255</v>
      </c>
      <c r="C168" s="73">
        <v>32905</v>
      </c>
      <c r="D168" s="73">
        <v>39349</v>
      </c>
      <c r="K168" s="71">
        <v>2025</v>
      </c>
      <c r="L168" s="72">
        <v>117</v>
      </c>
      <c r="M168" s="72"/>
      <c r="N168" s="72">
        <v>38</v>
      </c>
      <c r="O168" s="72">
        <v>80</v>
      </c>
      <c r="Q168" s="74">
        <f t="shared" ref="Q168:Q178" si="1">L168*1000000/B168</f>
        <v>1619.2651027610545</v>
      </c>
      <c r="R168" s="54">
        <f>Q168/Q167-1</f>
        <v>7.6072063615275631E-2</v>
      </c>
    </row>
    <row r="169" spans="1:18">
      <c r="A169" s="71">
        <v>2026</v>
      </c>
      <c r="B169" s="73">
        <v>254182</v>
      </c>
      <c r="C169" s="73">
        <v>48174</v>
      </c>
      <c r="D169" s="73">
        <v>206008</v>
      </c>
      <c r="K169" s="71">
        <v>2026</v>
      </c>
      <c r="L169" s="72">
        <v>421</v>
      </c>
      <c r="M169" s="72"/>
      <c r="N169" s="72">
        <v>41</v>
      </c>
      <c r="O169" s="72">
        <v>380</v>
      </c>
      <c r="Q169" s="74">
        <f t="shared" si="1"/>
        <v>1656.2935219645765</v>
      </c>
      <c r="R169" s="54">
        <f t="shared" ref="R169:R178" si="2">Q169/Q168-1</f>
        <v>2.2867422474790455E-2</v>
      </c>
    </row>
    <row r="170" spans="1:18">
      <c r="A170" s="71">
        <v>2027</v>
      </c>
      <c r="B170" s="73">
        <v>944873</v>
      </c>
      <c r="C170" s="73">
        <v>504129</v>
      </c>
      <c r="D170" s="73">
        <v>440743</v>
      </c>
      <c r="K170" s="71">
        <v>2027</v>
      </c>
      <c r="L170" s="72">
        <v>1024</v>
      </c>
      <c r="M170" s="72"/>
      <c r="N170" s="72">
        <v>315</v>
      </c>
      <c r="O170" s="72">
        <v>709</v>
      </c>
      <c r="Q170" s="74">
        <f t="shared" si="1"/>
        <v>1083.7435295537073</v>
      </c>
      <c r="R170" s="54">
        <f t="shared" si="2"/>
        <v>-0.34568147784080661</v>
      </c>
    </row>
    <row r="171" spans="1:18">
      <c r="A171" s="71">
        <v>2028</v>
      </c>
      <c r="B171" s="73">
        <v>5408845</v>
      </c>
      <c r="C171" s="73">
        <v>4413825</v>
      </c>
      <c r="D171" s="73">
        <v>995019</v>
      </c>
      <c r="K171" s="71">
        <v>2028</v>
      </c>
      <c r="L171" s="72">
        <v>4028</v>
      </c>
      <c r="M171" s="72"/>
      <c r="N171" s="72">
        <v>2853</v>
      </c>
      <c r="O171" s="72">
        <v>1176</v>
      </c>
      <c r="Q171" s="74">
        <f t="shared" si="1"/>
        <v>744.7061248750889</v>
      </c>
      <c r="R171" s="54">
        <f t="shared" si="2"/>
        <v>-0.31283915006923846</v>
      </c>
    </row>
    <row r="172" spans="1:18">
      <c r="A172" s="71">
        <v>2029</v>
      </c>
      <c r="B172" s="73">
        <v>8365251</v>
      </c>
      <c r="C172" s="73">
        <v>6591223</v>
      </c>
      <c r="D172" s="73">
        <v>1774028</v>
      </c>
      <c r="K172" s="71">
        <v>2029</v>
      </c>
      <c r="L172" s="72">
        <v>5516</v>
      </c>
      <c r="M172" s="72"/>
      <c r="N172" s="72">
        <v>3809</v>
      </c>
      <c r="O172" s="72">
        <v>1707</v>
      </c>
      <c r="Q172" s="74">
        <f t="shared" si="1"/>
        <v>659.39444016682819</v>
      </c>
      <c r="R172" s="54">
        <f t="shared" si="2"/>
        <v>-0.1145575171985731</v>
      </c>
    </row>
    <row r="173" spans="1:18">
      <c r="A173" s="71">
        <v>2030</v>
      </c>
      <c r="B173" s="73">
        <v>13409535</v>
      </c>
      <c r="C173" s="73">
        <v>10094535</v>
      </c>
      <c r="D173" s="73">
        <v>3315000</v>
      </c>
      <c r="K173" s="71">
        <v>2030</v>
      </c>
      <c r="L173" s="72">
        <v>8123</v>
      </c>
      <c r="M173" s="72"/>
      <c r="N173" s="72">
        <v>5493</v>
      </c>
      <c r="O173" s="72">
        <v>2630</v>
      </c>
      <c r="Q173" s="74">
        <f t="shared" si="1"/>
        <v>605.76298879864214</v>
      </c>
      <c r="R173" s="54">
        <f t="shared" si="2"/>
        <v>-8.1334400324360012E-2</v>
      </c>
    </row>
    <row r="174" spans="1:18">
      <c r="A174" s="71">
        <v>2031</v>
      </c>
      <c r="B174" s="73">
        <v>18945072</v>
      </c>
      <c r="C174" s="73">
        <v>13875072</v>
      </c>
      <c r="D174" s="73">
        <v>5070000</v>
      </c>
      <c r="K174" s="71">
        <v>2031</v>
      </c>
      <c r="L174" s="72">
        <v>10455</v>
      </c>
      <c r="M174" s="72"/>
      <c r="N174" s="72">
        <v>6760</v>
      </c>
      <c r="O174" s="72">
        <v>3695</v>
      </c>
      <c r="Q174" s="74">
        <f t="shared" si="1"/>
        <v>551.85855192315978</v>
      </c>
      <c r="R174" s="54">
        <f t="shared" si="2"/>
        <v>-8.8986019073873157E-2</v>
      </c>
    </row>
    <row r="175" spans="1:18">
      <c r="A175" s="71">
        <v>2032</v>
      </c>
      <c r="B175" s="73">
        <v>26257761</v>
      </c>
      <c r="C175" s="73">
        <v>19137761</v>
      </c>
      <c r="D175" s="73">
        <v>7120000</v>
      </c>
      <c r="K175" s="71">
        <v>2032</v>
      </c>
      <c r="L175" s="72">
        <v>13389</v>
      </c>
      <c r="M175" s="72"/>
      <c r="N175" s="72">
        <v>8531</v>
      </c>
      <c r="O175" s="72">
        <v>4858</v>
      </c>
      <c r="Q175" s="74">
        <f t="shared" si="1"/>
        <v>509.90638539211324</v>
      </c>
      <c r="R175" s="54">
        <f t="shared" si="2"/>
        <v>-7.6019781490833771E-2</v>
      </c>
    </row>
    <row r="176" spans="1:18">
      <c r="A176" s="71">
        <v>2033</v>
      </c>
      <c r="B176" s="73">
        <v>35037780</v>
      </c>
      <c r="C176" s="73">
        <v>25525780</v>
      </c>
      <c r="D176" s="73">
        <v>9512000</v>
      </c>
      <c r="K176" s="71">
        <v>2033</v>
      </c>
      <c r="L176" s="72">
        <v>16325</v>
      </c>
      <c r="M176" s="72"/>
      <c r="N176" s="72">
        <v>10443</v>
      </c>
      <c r="O176" s="72">
        <v>5882</v>
      </c>
      <c r="Q176" s="74">
        <f t="shared" si="1"/>
        <v>465.92563798277172</v>
      </c>
      <c r="R176" s="54">
        <f t="shared" si="2"/>
        <v>-8.625259198415558E-2</v>
      </c>
    </row>
    <row r="177" spans="1:18">
      <c r="A177" s="71">
        <v>2034</v>
      </c>
      <c r="B177" s="73">
        <v>46372942</v>
      </c>
      <c r="C177" s="73">
        <v>34371742</v>
      </c>
      <c r="D177" s="73">
        <v>12001200</v>
      </c>
      <c r="K177" s="71">
        <v>2034</v>
      </c>
      <c r="L177" s="72">
        <v>19886</v>
      </c>
      <c r="M177" s="72"/>
      <c r="N177" s="72">
        <v>13086</v>
      </c>
      <c r="O177" s="72">
        <v>6799</v>
      </c>
      <c r="Q177" s="74">
        <f t="shared" si="1"/>
        <v>428.82765557552938</v>
      </c>
      <c r="R177" s="54">
        <f t="shared" si="2"/>
        <v>-7.962211001707975E-2</v>
      </c>
    </row>
    <row r="178" spans="1:18">
      <c r="A178" s="71">
        <v>2035</v>
      </c>
      <c r="B178" s="73">
        <v>60000000</v>
      </c>
      <c r="C178" s="73">
        <v>45742012</v>
      </c>
      <c r="D178" s="73">
        <v>15000000</v>
      </c>
      <c r="K178" s="71">
        <v>2035</v>
      </c>
      <c r="L178" s="72">
        <v>22438</v>
      </c>
      <c r="M178" s="72"/>
      <c r="N178" s="72">
        <v>14910</v>
      </c>
      <c r="O178" s="72">
        <v>7528</v>
      </c>
      <c r="Q178" s="74">
        <f t="shared" si="1"/>
        <v>373.96666666666664</v>
      </c>
      <c r="R178" s="54">
        <f t="shared" si="2"/>
        <v>-0.12793248801837143</v>
      </c>
    </row>
  </sheetData>
  <phoneticPr fontId="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835B-06CF-47A4-805F-BFD3D71158E3}">
  <dimension ref="A1:E23"/>
  <sheetViews>
    <sheetView workbookViewId="0">
      <selection activeCell="I1" sqref="I1:R6"/>
    </sheetView>
  </sheetViews>
  <sheetFormatPr defaultRowHeight="13.8"/>
  <cols>
    <col min="1" max="1" width="8.796875" style="75" customWidth="1"/>
    <col min="2" max="2" width="19.046875" style="75" customWidth="1"/>
    <col min="3" max="16384" width="8.796875" style="75"/>
  </cols>
  <sheetData>
    <row r="1" spans="1:2" ht="14.1">
      <c r="A1" s="76" t="s">
        <v>677</v>
      </c>
    </row>
    <row r="3" spans="1:2" ht="14.1">
      <c r="A3" s="76" t="s">
        <v>668</v>
      </c>
    </row>
    <row r="4" spans="1:2">
      <c r="A4" s="75" t="s">
        <v>672</v>
      </c>
    </row>
    <row r="6" spans="1:2" ht="14.1">
      <c r="A6" s="76" t="s">
        <v>670</v>
      </c>
    </row>
    <row r="7" spans="1:2">
      <c r="A7" s="77" t="s">
        <v>675</v>
      </c>
    </row>
    <row r="9" spans="1:2" ht="14.1">
      <c r="A9" s="76" t="s">
        <v>671</v>
      </c>
    </row>
    <row r="10" spans="1:2">
      <c r="A10" s="75" t="s">
        <v>669</v>
      </c>
    </row>
    <row r="12" spans="1:2" ht="14.1">
      <c r="A12" s="76" t="s">
        <v>673</v>
      </c>
    </row>
    <row r="13" spans="1:2">
      <c r="A13" s="75" t="s">
        <v>674</v>
      </c>
      <c r="B13" s="75" t="s">
        <v>676</v>
      </c>
    </row>
    <row r="17" spans="1:5" ht="14.1">
      <c r="A17" s="76" t="s">
        <v>678</v>
      </c>
    </row>
    <row r="19" spans="1:5">
      <c r="A19" s="75" t="s">
        <v>679</v>
      </c>
      <c r="B19" s="75" t="s">
        <v>680</v>
      </c>
      <c r="D19" s="75" t="s">
        <v>679</v>
      </c>
      <c r="E19" s="75" t="s">
        <v>688</v>
      </c>
    </row>
    <row r="20" spans="1:5">
      <c r="A20" s="75" t="s">
        <v>681</v>
      </c>
      <c r="B20" s="75">
        <v>3</v>
      </c>
      <c r="D20" s="75" t="s">
        <v>685</v>
      </c>
      <c r="E20" s="75">
        <v>7.0000000000000007E-2</v>
      </c>
    </row>
    <row r="21" spans="1:5">
      <c r="A21" s="75" t="s">
        <v>682</v>
      </c>
      <c r="B21" s="75">
        <v>3</v>
      </c>
      <c r="D21" s="75" t="s">
        <v>686</v>
      </c>
      <c r="E21" s="75">
        <v>0.09</v>
      </c>
    </row>
    <row r="22" spans="1:5">
      <c r="A22" s="75" t="s">
        <v>683</v>
      </c>
      <c r="B22" s="75">
        <v>4.5</v>
      </c>
      <c r="D22" s="75" t="s">
        <v>687</v>
      </c>
      <c r="E22" s="75">
        <v>0.12</v>
      </c>
    </row>
    <row r="23" spans="1:5">
      <c r="A23" s="75" t="s">
        <v>684</v>
      </c>
      <c r="B23" s="75">
        <v>8</v>
      </c>
    </row>
  </sheetData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BCFC-AF81-4EDF-A3E7-583E48B6839F}">
  <dimension ref="A1:BK19"/>
  <sheetViews>
    <sheetView topLeftCell="A9" zoomScaleNormal="100" workbookViewId="0">
      <selection activeCell="BM1" sqref="BM1:CN50"/>
    </sheetView>
  </sheetViews>
  <sheetFormatPr defaultRowHeight="14.1"/>
  <sheetData>
    <row r="1" spans="1:63">
      <c r="A1" t="s">
        <v>220</v>
      </c>
      <c r="AM1" t="s">
        <v>221</v>
      </c>
    </row>
    <row r="2" spans="1:63" ht="16.2">
      <c r="B2" t="s">
        <v>195</v>
      </c>
      <c r="C2" t="s">
        <v>197</v>
      </c>
      <c r="D2" t="s">
        <v>198</v>
      </c>
      <c r="E2" t="s">
        <v>199</v>
      </c>
      <c r="H2" t="s">
        <v>195</v>
      </c>
      <c r="I2" t="s">
        <v>197</v>
      </c>
      <c r="J2" t="s">
        <v>198</v>
      </c>
      <c r="K2" t="s">
        <v>199</v>
      </c>
      <c r="N2" t="s">
        <v>200</v>
      </c>
      <c r="O2" t="s">
        <v>202</v>
      </c>
      <c r="P2" t="s">
        <v>204</v>
      </c>
      <c r="Q2" t="s">
        <v>206</v>
      </c>
      <c r="R2" t="s">
        <v>208</v>
      </c>
      <c r="S2" t="s">
        <v>210</v>
      </c>
      <c r="T2" t="s">
        <v>212</v>
      </c>
      <c r="U2" t="s">
        <v>214</v>
      </c>
      <c r="V2" t="s">
        <v>216</v>
      </c>
      <c r="W2" t="s">
        <v>218</v>
      </c>
      <c r="AM2" s="19" t="s">
        <v>124</v>
      </c>
      <c r="AN2" s="19" t="s">
        <v>125</v>
      </c>
      <c r="AO2" s="19" t="s">
        <v>126</v>
      </c>
      <c r="AP2" s="19" t="s">
        <v>127</v>
      </c>
      <c r="AQ2" s="19" t="s">
        <v>128</v>
      </c>
      <c r="AR2" s="19" t="s">
        <v>129</v>
      </c>
      <c r="AS2" s="19" t="s">
        <v>130</v>
      </c>
      <c r="AT2" s="19" t="s">
        <v>131</v>
      </c>
      <c r="AU2" s="19" t="s">
        <v>132</v>
      </c>
      <c r="AV2" s="19" t="s">
        <v>133</v>
      </c>
      <c r="AW2" s="19" t="s">
        <v>134</v>
      </c>
      <c r="AX2" s="19" t="s">
        <v>135</v>
      </c>
      <c r="AY2" s="19" t="s">
        <v>136</v>
      </c>
      <c r="AZ2" s="19" t="s">
        <v>137</v>
      </c>
      <c r="BC2" s="19" t="s">
        <v>125</v>
      </c>
      <c r="BD2" s="19" t="s">
        <v>130</v>
      </c>
      <c r="BE2" s="19" t="s">
        <v>131</v>
      </c>
      <c r="BF2" s="19" t="s">
        <v>132</v>
      </c>
      <c r="BG2" s="19" t="s">
        <v>133</v>
      </c>
      <c r="BH2" s="19" t="s">
        <v>134</v>
      </c>
      <c r="BI2" s="19" t="s">
        <v>135</v>
      </c>
      <c r="BK2" s="19"/>
    </row>
    <row r="3" spans="1:63" ht="48.6">
      <c r="A3" t="s">
        <v>184</v>
      </c>
      <c r="B3">
        <v>0.16732542819499299</v>
      </c>
      <c r="C3">
        <v>0.12121212121212099</v>
      </c>
      <c r="D3">
        <v>0.17654808959156701</v>
      </c>
      <c r="E3">
        <v>3.03030303030302E-2</v>
      </c>
      <c r="G3" t="s">
        <v>201</v>
      </c>
      <c r="H3">
        <f t="shared" ref="H3:H12" si="0">B3*1800</f>
        <v>301.18577075098739</v>
      </c>
      <c r="I3">
        <f t="shared" ref="I3:I12" si="1">C3*1800</f>
        <v>218.18181818181779</v>
      </c>
      <c r="J3">
        <f t="shared" ref="J3:J12" si="2">D3*1800</f>
        <v>317.78656126482059</v>
      </c>
      <c r="K3">
        <f t="shared" ref="K3:K12" si="3">E3*1800</f>
        <v>54.545454545454362</v>
      </c>
      <c r="M3" t="s">
        <v>194</v>
      </c>
      <c r="N3">
        <v>301.18577075098739</v>
      </c>
      <c r="O3">
        <v>303.55731225296279</v>
      </c>
      <c r="P3">
        <v>263.2411067193666</v>
      </c>
      <c r="Q3">
        <v>291.6996047430822</v>
      </c>
      <c r="R3">
        <v>211.06719367588801</v>
      </c>
      <c r="S3">
        <v>208.69565217391261</v>
      </c>
      <c r="T3">
        <v>220.55335968379319</v>
      </c>
      <c r="U3">
        <v>244.26877470355618</v>
      </c>
      <c r="V3">
        <v>234.78260869565102</v>
      </c>
      <c r="W3">
        <v>253.75494071146142</v>
      </c>
      <c r="AM3" s="20" t="s">
        <v>138</v>
      </c>
      <c r="AN3" s="21" t="s">
        <v>139</v>
      </c>
      <c r="AO3" s="21">
        <v>230</v>
      </c>
      <c r="AP3" s="21">
        <v>450</v>
      </c>
      <c r="AQ3" s="21">
        <v>765</v>
      </c>
      <c r="AR3" s="21">
        <v>865</v>
      </c>
      <c r="AS3" s="21">
        <v>1335</v>
      </c>
      <c r="AT3" s="21">
        <v>1020</v>
      </c>
      <c r="AU3" s="21">
        <v>883</v>
      </c>
      <c r="AV3" s="21">
        <v>707</v>
      </c>
      <c r="AW3" s="21">
        <v>408</v>
      </c>
      <c r="AX3" s="21">
        <v>240</v>
      </c>
      <c r="AY3" s="21">
        <v>181</v>
      </c>
      <c r="AZ3" s="21">
        <v>148</v>
      </c>
      <c r="BC3" s="21" t="s">
        <v>139</v>
      </c>
      <c r="BD3" s="21">
        <v>1335</v>
      </c>
      <c r="BE3" s="21">
        <v>1020</v>
      </c>
      <c r="BF3" s="21">
        <v>883</v>
      </c>
      <c r="BG3" s="21">
        <v>707</v>
      </c>
      <c r="BH3" s="21">
        <v>408</v>
      </c>
      <c r="BI3" s="21">
        <v>240</v>
      </c>
    </row>
    <row r="4" spans="1:63" ht="48.6">
      <c r="A4" t="s">
        <v>185</v>
      </c>
      <c r="B4">
        <v>0.16864295125164599</v>
      </c>
      <c r="C4">
        <v>0.109354413702239</v>
      </c>
      <c r="D4">
        <v>0.22266139657444001</v>
      </c>
      <c r="E4">
        <v>7.3781291172595395E-2</v>
      </c>
      <c r="G4" t="s">
        <v>203</v>
      </c>
      <c r="H4">
        <f t="shared" si="0"/>
        <v>303.55731225296279</v>
      </c>
      <c r="I4">
        <f t="shared" si="1"/>
        <v>196.8379446640302</v>
      </c>
      <c r="J4">
        <f t="shared" si="2"/>
        <v>400.79051383399201</v>
      </c>
      <c r="K4">
        <f t="shared" si="3"/>
        <v>132.80632411067171</v>
      </c>
      <c r="M4" t="s">
        <v>196</v>
      </c>
      <c r="N4">
        <v>218.18181818181779</v>
      </c>
      <c r="O4">
        <v>196.8379446640302</v>
      </c>
      <c r="P4">
        <v>144.66403162055303</v>
      </c>
      <c r="Q4">
        <v>104.3478260869563</v>
      </c>
      <c r="R4">
        <v>128.06324110671929</v>
      </c>
      <c r="S4">
        <v>144.66403162055303</v>
      </c>
      <c r="T4">
        <v>199.20948616600739</v>
      </c>
      <c r="U4">
        <v>218.18181818181779</v>
      </c>
      <c r="V4">
        <v>177.86561264822123</v>
      </c>
      <c r="W4">
        <v>161.26482213438715</v>
      </c>
      <c r="AM4" s="21"/>
      <c r="AN4" s="21" t="s">
        <v>140</v>
      </c>
      <c r="AO4" s="21">
        <v>0</v>
      </c>
      <c r="AP4" s="21">
        <v>0</v>
      </c>
      <c r="AQ4" s="21">
        <v>110</v>
      </c>
      <c r="AR4" s="21">
        <v>436</v>
      </c>
      <c r="AS4" s="21">
        <v>289</v>
      </c>
      <c r="AT4" s="21">
        <v>190</v>
      </c>
      <c r="AU4" s="21">
        <v>119</v>
      </c>
      <c r="AV4" s="21">
        <v>82</v>
      </c>
      <c r="AW4" s="21">
        <v>64</v>
      </c>
      <c r="AX4" s="21">
        <v>0</v>
      </c>
      <c r="AY4" s="21">
        <v>0</v>
      </c>
      <c r="AZ4" s="21">
        <v>0</v>
      </c>
      <c r="BC4" s="21" t="s">
        <v>140</v>
      </c>
      <c r="BD4" s="21">
        <v>289</v>
      </c>
      <c r="BE4" s="21">
        <v>190</v>
      </c>
      <c r="BF4" s="21">
        <v>119</v>
      </c>
      <c r="BG4" s="21">
        <v>82</v>
      </c>
      <c r="BH4" s="21">
        <v>64</v>
      </c>
      <c r="BI4" s="21">
        <v>0</v>
      </c>
    </row>
    <row r="5" spans="1:63" ht="48.6">
      <c r="A5" t="s">
        <v>186</v>
      </c>
      <c r="B5">
        <v>0.14624505928853701</v>
      </c>
      <c r="C5">
        <v>8.0368906455862796E-2</v>
      </c>
      <c r="D5">
        <v>0.27009222661396498</v>
      </c>
      <c r="E5">
        <v>0.18181818181818099</v>
      </c>
      <c r="G5" t="s">
        <v>205</v>
      </c>
      <c r="H5">
        <f t="shared" si="0"/>
        <v>263.2411067193666</v>
      </c>
      <c r="I5">
        <f t="shared" si="1"/>
        <v>144.66403162055303</v>
      </c>
      <c r="J5">
        <f t="shared" si="2"/>
        <v>486.16600790513695</v>
      </c>
      <c r="K5">
        <f t="shared" si="3"/>
        <v>327.27272727272577</v>
      </c>
      <c r="M5" t="s">
        <v>85</v>
      </c>
      <c r="N5">
        <v>317.78656126482059</v>
      </c>
      <c r="O5">
        <v>400.79051383399201</v>
      </c>
      <c r="P5">
        <v>486.16600790513695</v>
      </c>
      <c r="Q5">
        <v>588.14229249011703</v>
      </c>
      <c r="R5">
        <v>749.40711462450543</v>
      </c>
      <c r="S5">
        <v>1043.4782608695648</v>
      </c>
      <c r="T5">
        <v>1430.0395256916991</v>
      </c>
      <c r="U5">
        <v>1643.4782608695641</v>
      </c>
      <c r="V5">
        <v>1600.7905138339909</v>
      </c>
      <c r="W5">
        <v>1441.8972332015796</v>
      </c>
      <c r="AM5" s="21"/>
      <c r="AN5" s="21" t="s">
        <v>141</v>
      </c>
      <c r="AO5" s="21">
        <v>0</v>
      </c>
      <c r="AP5" s="21">
        <v>0</v>
      </c>
      <c r="AQ5" s="21">
        <v>4</v>
      </c>
      <c r="AR5" s="21">
        <v>22</v>
      </c>
      <c r="AS5" s="21">
        <v>73</v>
      </c>
      <c r="AT5" s="21">
        <v>218</v>
      </c>
      <c r="AU5" s="21">
        <v>326</v>
      </c>
      <c r="AV5" s="21">
        <v>363</v>
      </c>
      <c r="AW5" s="21">
        <v>1200</v>
      </c>
      <c r="AX5" s="21">
        <v>1458</v>
      </c>
      <c r="AY5" s="21">
        <v>993</v>
      </c>
      <c r="AZ5" s="21">
        <v>520</v>
      </c>
      <c r="BC5" s="21" t="s">
        <v>141</v>
      </c>
      <c r="BD5" s="21">
        <v>73</v>
      </c>
      <c r="BE5" s="21">
        <v>218</v>
      </c>
      <c r="BF5" s="21">
        <v>326</v>
      </c>
      <c r="BG5" s="21">
        <v>363</v>
      </c>
      <c r="BH5" s="21">
        <v>1200</v>
      </c>
      <c r="BI5" s="21">
        <v>1458</v>
      </c>
    </row>
    <row r="6" spans="1:63" ht="48.6">
      <c r="A6" t="s">
        <v>187</v>
      </c>
      <c r="B6">
        <v>0.16205533596837901</v>
      </c>
      <c r="C6">
        <v>5.7971014492753499E-2</v>
      </c>
      <c r="D6">
        <v>0.32674571805006503</v>
      </c>
      <c r="E6">
        <v>0.30961791831357</v>
      </c>
      <c r="G6" t="s">
        <v>207</v>
      </c>
      <c r="H6">
        <f t="shared" si="0"/>
        <v>291.6996047430822</v>
      </c>
      <c r="I6">
        <f t="shared" si="1"/>
        <v>104.3478260869563</v>
      </c>
      <c r="J6">
        <f t="shared" si="2"/>
        <v>588.14229249011703</v>
      </c>
      <c r="K6">
        <f t="shared" si="3"/>
        <v>557.31225296442597</v>
      </c>
      <c r="M6" t="s">
        <v>86</v>
      </c>
      <c r="N6">
        <v>54.545454545454362</v>
      </c>
      <c r="O6">
        <v>132.80632411067171</v>
      </c>
      <c r="P6">
        <v>327.27272727272577</v>
      </c>
      <c r="Q6">
        <v>557.31225296442597</v>
      </c>
      <c r="R6">
        <v>875.09881422924832</v>
      </c>
      <c r="S6">
        <v>927.27272727272702</v>
      </c>
      <c r="T6">
        <v>969.96047430830038</v>
      </c>
      <c r="U6">
        <v>1012.648221343872</v>
      </c>
      <c r="V6">
        <v>1124.1106719367572</v>
      </c>
      <c r="W6">
        <v>1278.2608695652159</v>
      </c>
      <c r="AM6" s="21"/>
      <c r="AN6" s="21" t="s">
        <v>142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8</v>
      </c>
      <c r="AV6" s="21">
        <v>179</v>
      </c>
      <c r="AW6" s="21">
        <v>958</v>
      </c>
      <c r="AX6" s="21">
        <v>1810</v>
      </c>
      <c r="AY6" s="21">
        <v>3728</v>
      </c>
      <c r="AZ6" s="21">
        <v>3603</v>
      </c>
      <c r="BC6" s="21" t="s">
        <v>142</v>
      </c>
      <c r="BD6" s="21">
        <v>0</v>
      </c>
      <c r="BE6" s="21">
        <v>0</v>
      </c>
      <c r="BF6" s="21">
        <v>8</v>
      </c>
      <c r="BG6" s="21">
        <v>179</v>
      </c>
      <c r="BH6" s="21">
        <v>958</v>
      </c>
      <c r="BI6" s="21">
        <v>1810</v>
      </c>
    </row>
    <row r="7" spans="1:63" ht="32.4">
      <c r="A7" t="s">
        <v>188</v>
      </c>
      <c r="B7">
        <v>0.11725955204216</v>
      </c>
      <c r="C7">
        <v>7.1146245059288502E-2</v>
      </c>
      <c r="D7">
        <v>0.41633728590250302</v>
      </c>
      <c r="E7">
        <v>0.48616600790513798</v>
      </c>
      <c r="G7" t="s">
        <v>209</v>
      </c>
      <c r="H7">
        <f t="shared" si="0"/>
        <v>211.06719367588801</v>
      </c>
      <c r="I7">
        <f t="shared" si="1"/>
        <v>128.06324110671929</v>
      </c>
      <c r="J7">
        <f t="shared" si="2"/>
        <v>749.40711462450543</v>
      </c>
      <c r="K7">
        <f t="shared" si="3"/>
        <v>875.09881422924832</v>
      </c>
      <c r="AM7" s="21"/>
      <c r="AN7" s="21" t="s">
        <v>143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175</v>
      </c>
      <c r="AY7" s="21">
        <v>706</v>
      </c>
      <c r="AZ7" s="21">
        <v>2410</v>
      </c>
      <c r="BC7" s="21" t="s">
        <v>143</v>
      </c>
      <c r="BD7" s="21">
        <v>0</v>
      </c>
      <c r="BE7" s="21">
        <v>0</v>
      </c>
      <c r="BF7" s="21">
        <v>0</v>
      </c>
      <c r="BG7" s="21">
        <v>0</v>
      </c>
      <c r="BH7" s="21">
        <v>175</v>
      </c>
      <c r="BI7" s="21">
        <v>706</v>
      </c>
    </row>
    <row r="8" spans="1:63" ht="48.6">
      <c r="A8" t="s">
        <v>189</v>
      </c>
      <c r="B8">
        <v>0.115942028985507</v>
      </c>
      <c r="C8">
        <v>8.0368906455862796E-2</v>
      </c>
      <c r="D8">
        <v>0.57971014492753603</v>
      </c>
      <c r="E8">
        <v>0.51515151515151503</v>
      </c>
      <c r="G8" t="s">
        <v>211</v>
      </c>
      <c r="H8">
        <f t="shared" si="0"/>
        <v>208.69565217391261</v>
      </c>
      <c r="I8">
        <f t="shared" si="1"/>
        <v>144.66403162055303</v>
      </c>
      <c r="J8">
        <f t="shared" si="2"/>
        <v>1043.4782608695648</v>
      </c>
      <c r="K8">
        <f t="shared" si="3"/>
        <v>927.27272727272702</v>
      </c>
      <c r="AM8" s="20" t="s">
        <v>144</v>
      </c>
      <c r="AN8" s="21" t="s">
        <v>145</v>
      </c>
      <c r="AO8" s="21">
        <v>430</v>
      </c>
      <c r="AP8" s="21">
        <v>337</v>
      </c>
      <c r="AQ8" s="21">
        <v>252</v>
      </c>
      <c r="AR8" s="21">
        <v>171</v>
      </c>
      <c r="AS8" s="21">
        <v>142</v>
      </c>
      <c r="AT8" s="21">
        <v>127</v>
      </c>
      <c r="AU8" s="21">
        <v>111</v>
      </c>
      <c r="AV8" s="21">
        <v>102</v>
      </c>
      <c r="AW8" s="21">
        <v>97</v>
      </c>
      <c r="AX8" s="21">
        <v>99</v>
      </c>
      <c r="AY8" s="21">
        <v>91</v>
      </c>
      <c r="AZ8" s="21">
        <v>89</v>
      </c>
    </row>
    <row r="9" spans="1:63" ht="48.6">
      <c r="A9" t="s">
        <v>190</v>
      </c>
      <c r="B9">
        <v>0.122529644268774</v>
      </c>
      <c r="C9">
        <v>0.110671936758893</v>
      </c>
      <c r="D9">
        <v>0.79446640316205497</v>
      </c>
      <c r="E9">
        <v>0.53886693017127796</v>
      </c>
      <c r="G9" t="s">
        <v>213</v>
      </c>
      <c r="H9">
        <f t="shared" si="0"/>
        <v>220.55335968379319</v>
      </c>
      <c r="I9">
        <f t="shared" si="1"/>
        <v>199.20948616600739</v>
      </c>
      <c r="J9">
        <f t="shared" si="2"/>
        <v>1430.0395256916991</v>
      </c>
      <c r="K9">
        <f t="shared" si="3"/>
        <v>969.96047430830038</v>
      </c>
      <c r="AM9" s="21"/>
      <c r="AN9" s="21" t="s">
        <v>146</v>
      </c>
      <c r="AO9" s="21">
        <v>430</v>
      </c>
      <c r="AP9" s="21">
        <v>337</v>
      </c>
      <c r="AQ9" s="21">
        <v>258</v>
      </c>
      <c r="AR9" s="21">
        <v>214</v>
      </c>
      <c r="AS9" s="21">
        <v>177</v>
      </c>
      <c r="AT9" s="21">
        <v>139</v>
      </c>
      <c r="AU9" s="21">
        <v>128</v>
      </c>
      <c r="AV9" s="21">
        <v>126</v>
      </c>
      <c r="AW9" s="21">
        <v>123</v>
      </c>
      <c r="AX9" s="21">
        <v>0</v>
      </c>
      <c r="AY9" s="21">
        <v>0</v>
      </c>
      <c r="AZ9" s="21">
        <v>0</v>
      </c>
    </row>
    <row r="10" spans="1:63" ht="48.6">
      <c r="A10" t="s">
        <v>191</v>
      </c>
      <c r="B10">
        <v>0.13570487483530899</v>
      </c>
      <c r="C10">
        <v>0.12121212121212099</v>
      </c>
      <c r="D10">
        <v>0.91304347826086896</v>
      </c>
      <c r="E10">
        <v>0.56258234519104</v>
      </c>
      <c r="G10" t="s">
        <v>215</v>
      </c>
      <c r="H10">
        <f t="shared" si="0"/>
        <v>244.26877470355618</v>
      </c>
      <c r="I10">
        <f t="shared" si="1"/>
        <v>218.18181818181779</v>
      </c>
      <c r="J10">
        <f t="shared" si="2"/>
        <v>1643.4782608695641</v>
      </c>
      <c r="K10">
        <f t="shared" si="3"/>
        <v>1012.648221343872</v>
      </c>
      <c r="AM10" s="21"/>
      <c r="AN10" s="21" t="s">
        <v>147</v>
      </c>
      <c r="AO10" s="21">
        <v>0</v>
      </c>
      <c r="AP10" s="21">
        <v>0</v>
      </c>
      <c r="AQ10" s="21">
        <v>920</v>
      </c>
      <c r="AR10" s="21">
        <v>778</v>
      </c>
      <c r="AS10" s="21">
        <v>641</v>
      </c>
      <c r="AT10" s="21">
        <v>445</v>
      </c>
      <c r="AU10" s="21">
        <v>366</v>
      </c>
      <c r="AV10" s="21">
        <v>305</v>
      </c>
      <c r="AW10" s="21">
        <v>221</v>
      </c>
      <c r="AX10" s="21">
        <v>169</v>
      </c>
      <c r="AY10" s="21">
        <v>158</v>
      </c>
      <c r="AZ10" s="21">
        <v>173</v>
      </c>
      <c r="BD10">
        <f>SUM(AX6:AX7)</f>
        <v>1985</v>
      </c>
      <c r="BE10">
        <f>SUM(AY6:AY7)</f>
        <v>4434</v>
      </c>
      <c r="BF10">
        <f>SUM(AZ6:AZ7)</f>
        <v>6013</v>
      </c>
      <c r="BG10">
        <f>BF10*(1+BG11)</f>
        <v>7215.5999999999995</v>
      </c>
      <c r="BH10">
        <f>BG10*(1+BH11)</f>
        <v>8658.7199999999993</v>
      </c>
      <c r="BI10">
        <f>BH10*(1+BI11)</f>
        <v>10390.463999999998</v>
      </c>
      <c r="BK10">
        <f>BI10*0.45*800</f>
        <v>3740567.0399999996</v>
      </c>
    </row>
    <row r="11" spans="1:63" ht="48.6">
      <c r="A11" t="s">
        <v>192</v>
      </c>
      <c r="B11">
        <v>0.13043478260869501</v>
      </c>
      <c r="C11">
        <v>9.8814229249011801E-2</v>
      </c>
      <c r="D11">
        <v>0.88932806324110603</v>
      </c>
      <c r="E11">
        <v>0.624505928853754</v>
      </c>
      <c r="G11" t="s">
        <v>217</v>
      </c>
      <c r="H11">
        <f t="shared" si="0"/>
        <v>234.78260869565102</v>
      </c>
      <c r="I11">
        <f t="shared" si="1"/>
        <v>177.86561264822123</v>
      </c>
      <c r="J11">
        <f t="shared" si="2"/>
        <v>1600.7905138339909</v>
      </c>
      <c r="K11">
        <f t="shared" si="3"/>
        <v>1124.1106719367572</v>
      </c>
      <c r="AM11" s="21"/>
      <c r="AN11" s="21" t="s">
        <v>148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1040</v>
      </c>
      <c r="AV11" s="21">
        <v>728</v>
      </c>
      <c r="AW11" s="21">
        <v>589</v>
      </c>
      <c r="AX11" s="21">
        <v>539</v>
      </c>
      <c r="AY11" s="21">
        <v>432</v>
      </c>
      <c r="AZ11" s="21">
        <v>387</v>
      </c>
      <c r="BE11">
        <f>BE10/BD10-1</f>
        <v>1.2337531486146096</v>
      </c>
      <c r="BF11">
        <f>BF10/BE10-1</f>
        <v>0.35611186287776264</v>
      </c>
      <c r="BG11">
        <f>0.2</f>
        <v>0.2</v>
      </c>
      <c r="BH11">
        <f>0.2</f>
        <v>0.2</v>
      </c>
      <c r="BI11">
        <f>0.2</f>
        <v>0.2</v>
      </c>
    </row>
    <row r="12" spans="1:63" ht="48.6">
      <c r="A12" t="s">
        <v>193</v>
      </c>
      <c r="B12">
        <v>0.140974967061923</v>
      </c>
      <c r="C12">
        <v>8.9591567852437298E-2</v>
      </c>
      <c r="D12">
        <v>0.80105401844532198</v>
      </c>
      <c r="E12">
        <v>0.71014492753623104</v>
      </c>
      <c r="G12" t="s">
        <v>219</v>
      </c>
      <c r="H12">
        <f t="shared" si="0"/>
        <v>253.75494071146142</v>
      </c>
      <c r="I12">
        <f t="shared" si="1"/>
        <v>161.26482213438715</v>
      </c>
      <c r="J12">
        <f t="shared" si="2"/>
        <v>1441.8972332015796</v>
      </c>
      <c r="K12">
        <f t="shared" si="3"/>
        <v>1278.2608695652159</v>
      </c>
      <c r="AM12" s="21"/>
      <c r="AN12" s="21" t="s">
        <v>149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1500</v>
      </c>
      <c r="AX12" s="21">
        <v>1056</v>
      </c>
      <c r="AY12" s="21">
        <v>918</v>
      </c>
      <c r="AZ12" s="21">
        <v>732</v>
      </c>
    </row>
    <row r="13" spans="1:63" ht="32.4">
      <c r="AM13" s="20" t="s">
        <v>150</v>
      </c>
      <c r="AN13" s="21" t="s">
        <v>151</v>
      </c>
      <c r="AO13" s="21">
        <v>9.8800000000000008</v>
      </c>
      <c r="AP13" s="21">
        <v>15.18</v>
      </c>
      <c r="AQ13" s="21">
        <v>19.28</v>
      </c>
      <c r="AR13" s="21">
        <v>14.77</v>
      </c>
      <c r="AS13" s="21">
        <v>18.940000000000001</v>
      </c>
      <c r="AT13" s="21">
        <v>12.96</v>
      </c>
      <c r="AU13" s="21">
        <v>9.7799999999999994</v>
      </c>
      <c r="AV13" s="21">
        <v>7.2</v>
      </c>
      <c r="AW13" s="21">
        <v>3.97</v>
      </c>
      <c r="AX13" s="21">
        <v>2.38</v>
      </c>
      <c r="AY13" s="21">
        <v>1.65</v>
      </c>
      <c r="AZ13" s="21">
        <v>1.31</v>
      </c>
    </row>
    <row r="14" spans="1:63" ht="32.4">
      <c r="AM14" s="21"/>
      <c r="AN14" s="21" t="s">
        <v>152</v>
      </c>
      <c r="AO14" s="21">
        <v>0</v>
      </c>
      <c r="AP14" s="21">
        <v>0</v>
      </c>
      <c r="AQ14" s="21">
        <v>2.83</v>
      </c>
      <c r="AR14" s="21">
        <v>9.33</v>
      </c>
      <c r="AS14" s="21">
        <v>5.1100000000000003</v>
      </c>
      <c r="AT14" s="21">
        <v>2.63</v>
      </c>
      <c r="AU14" s="21">
        <v>1.53</v>
      </c>
      <c r="AV14" s="21">
        <v>1.03</v>
      </c>
      <c r="AW14" s="21">
        <v>0.79</v>
      </c>
      <c r="AX14" s="21">
        <v>0</v>
      </c>
      <c r="AY14" s="21">
        <v>0</v>
      </c>
      <c r="AZ14" s="21">
        <v>0</v>
      </c>
    </row>
    <row r="15" spans="1:63" ht="32.4">
      <c r="AM15" s="21"/>
      <c r="AN15" s="21" t="s">
        <v>153</v>
      </c>
      <c r="AO15" s="21">
        <v>0</v>
      </c>
      <c r="AP15" s="21">
        <v>0</v>
      </c>
      <c r="AQ15" s="21">
        <v>0.37</v>
      </c>
      <c r="AR15" s="21">
        <v>1.71</v>
      </c>
      <c r="AS15" s="21">
        <v>4.68</v>
      </c>
      <c r="AT15" s="21">
        <v>9.69</v>
      </c>
      <c r="AU15" s="21">
        <v>11.92</v>
      </c>
      <c r="AV15" s="21">
        <v>11.08</v>
      </c>
      <c r="AW15" s="21">
        <v>26.52</v>
      </c>
      <c r="AX15" s="21">
        <v>24.61</v>
      </c>
      <c r="AY15" s="21">
        <v>15.67</v>
      </c>
      <c r="AZ15" s="21">
        <v>8.99</v>
      </c>
    </row>
    <row r="16" spans="1:63" ht="32.4">
      <c r="AM16" s="21"/>
      <c r="AN16" s="21" t="s">
        <v>154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0.83</v>
      </c>
      <c r="AV16" s="21">
        <v>13.01</v>
      </c>
      <c r="AW16" s="21">
        <v>56.41</v>
      </c>
      <c r="AX16" s="21">
        <v>97.47</v>
      </c>
      <c r="AY16" s="21">
        <v>160.88</v>
      </c>
      <c r="AZ16" s="21">
        <v>139.56</v>
      </c>
    </row>
    <row r="17" spans="39:52" ht="32.4">
      <c r="AM17" s="21"/>
      <c r="AN17" s="21" t="s">
        <v>155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4.01</v>
      </c>
      <c r="AX17" s="21">
        <v>18.43</v>
      </c>
      <c r="AY17" s="21">
        <v>64.75</v>
      </c>
      <c r="AZ17" s="21">
        <v>176.36</v>
      </c>
    </row>
    <row r="18" spans="39:52" ht="64.8">
      <c r="AM18" s="20" t="s">
        <v>156</v>
      </c>
      <c r="AN18" s="21" t="s">
        <v>157</v>
      </c>
      <c r="AO18" s="21">
        <v>9.8800000000000008</v>
      </c>
      <c r="AP18" s="21">
        <v>15.18</v>
      </c>
      <c r="AQ18" s="21">
        <v>19.649999999999999</v>
      </c>
      <c r="AR18" s="21">
        <v>16.48</v>
      </c>
      <c r="AS18" s="21">
        <v>23.62</v>
      </c>
      <c r="AT18" s="21">
        <v>25.47</v>
      </c>
      <c r="AU18" s="21">
        <v>31.86</v>
      </c>
      <c r="AV18" s="21">
        <v>36.409999999999997</v>
      </c>
      <c r="AW18" s="21">
        <v>93.55</v>
      </c>
      <c r="AX18" s="21">
        <v>144.43</v>
      </c>
      <c r="AY18" s="21">
        <v>243.97</v>
      </c>
      <c r="AZ18" s="21">
        <v>327.02</v>
      </c>
    </row>
    <row r="19" spans="39:52" ht="48.6">
      <c r="AM19" s="20" t="s">
        <v>158</v>
      </c>
      <c r="AN19" s="21" t="s">
        <v>159</v>
      </c>
      <c r="AO19" s="21" t="s">
        <v>160</v>
      </c>
      <c r="AP19" s="22">
        <v>0.54</v>
      </c>
      <c r="AQ19" s="22">
        <v>0.28999999999999998</v>
      </c>
      <c r="AR19" s="22">
        <v>-0.16</v>
      </c>
      <c r="AS19" s="22">
        <v>0.43</v>
      </c>
      <c r="AT19" s="22">
        <v>0.08</v>
      </c>
      <c r="AU19" s="22">
        <v>0.25</v>
      </c>
      <c r="AV19" s="22">
        <v>0.14000000000000001</v>
      </c>
      <c r="AW19" s="22">
        <v>1.57</v>
      </c>
      <c r="AX19" s="22">
        <v>0.54</v>
      </c>
      <c r="AY19" s="22">
        <v>0.69</v>
      </c>
      <c r="AZ19" s="22">
        <v>0.34</v>
      </c>
    </row>
  </sheetData>
  <phoneticPr fontId="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98A3-E1BF-40A3-A9A9-8C1142967547}">
  <dimension ref="A1:V1"/>
  <sheetViews>
    <sheetView topLeftCell="F1" zoomScale="55" zoomScaleNormal="55" workbookViewId="0">
      <selection activeCell="V2" sqref="V2"/>
    </sheetView>
  </sheetViews>
  <sheetFormatPr defaultRowHeight="14.1"/>
  <sheetData>
    <row r="1" spans="1:22">
      <c r="A1" t="s">
        <v>450</v>
      </c>
      <c r="K1" t="s">
        <v>451</v>
      </c>
      <c r="V1" t="s">
        <v>452</v>
      </c>
    </row>
  </sheetData>
  <phoneticPr fontId="4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3DF8-B392-439F-B667-DBDB4A879A71}">
  <dimension ref="A1:AB11"/>
  <sheetViews>
    <sheetView topLeftCell="A8" zoomScale="85" zoomScaleNormal="85" workbookViewId="0">
      <selection activeCell="X4" sqref="X4:AB8"/>
    </sheetView>
  </sheetViews>
  <sheetFormatPr defaultRowHeight="14.1"/>
  <cols>
    <col min="1" max="1" width="36.546875" customWidth="1"/>
    <col min="2" max="2" width="22.94921875" customWidth="1"/>
    <col min="3" max="3" width="31.44921875" customWidth="1"/>
    <col min="4" max="4" width="21.6484375" customWidth="1"/>
    <col min="5" max="5" width="29.94921875" customWidth="1"/>
    <col min="6" max="6" width="19.94921875" customWidth="1"/>
    <col min="9" max="9" width="8.69921875" bestFit="1" customWidth="1"/>
    <col min="10" max="10" width="15.69921875" bestFit="1" customWidth="1"/>
    <col min="11" max="11" width="15.94921875" bestFit="1" customWidth="1"/>
    <col min="12" max="12" width="16.69921875" bestFit="1" customWidth="1"/>
    <col min="13" max="14" width="15.94921875" bestFit="1" customWidth="1"/>
  </cols>
  <sheetData>
    <row r="1" spans="1:28" ht="22.5">
      <c r="A1" s="40" t="s">
        <v>421</v>
      </c>
      <c r="I1" s="40" t="s">
        <v>490</v>
      </c>
      <c r="P1" t="s">
        <v>501</v>
      </c>
    </row>
    <row r="3" spans="1:28" ht="42.3">
      <c r="A3" s="41" t="s">
        <v>422</v>
      </c>
      <c r="B3" s="41" t="s">
        <v>423</v>
      </c>
      <c r="C3" s="41" t="s">
        <v>424</v>
      </c>
      <c r="D3" s="41" t="s">
        <v>425</v>
      </c>
      <c r="E3" s="41" t="s">
        <v>426</v>
      </c>
      <c r="F3" s="41" t="s">
        <v>427</v>
      </c>
      <c r="I3" s="41" t="s">
        <v>453</v>
      </c>
      <c r="J3" s="41" t="s">
        <v>454</v>
      </c>
      <c r="K3" s="41" t="s">
        <v>455</v>
      </c>
      <c r="L3" s="41" t="s">
        <v>456</v>
      </c>
      <c r="M3" s="41" t="s">
        <v>457</v>
      </c>
      <c r="N3" s="41" t="s">
        <v>458</v>
      </c>
      <c r="P3" s="53" t="s">
        <v>491</v>
      </c>
      <c r="Q3" s="42" t="s">
        <v>454</v>
      </c>
      <c r="R3" s="42" t="s">
        <v>455</v>
      </c>
      <c r="S3" s="42" t="s">
        <v>457</v>
      </c>
      <c r="T3" s="42" t="s">
        <v>500</v>
      </c>
      <c r="U3" s="42" t="s">
        <v>456</v>
      </c>
      <c r="W3" s="32" t="s">
        <v>502</v>
      </c>
      <c r="X3" s="45" t="s">
        <v>504</v>
      </c>
      <c r="Y3" s="45" t="s">
        <v>506</v>
      </c>
      <c r="Z3" s="45" t="s">
        <v>508</v>
      </c>
      <c r="AA3" s="45" t="s">
        <v>510</v>
      </c>
      <c r="AB3" s="45" t="s">
        <v>507</v>
      </c>
    </row>
    <row r="4" spans="1:28" ht="338.4">
      <c r="A4" s="43">
        <v>2020</v>
      </c>
      <c r="B4" s="42" t="s">
        <v>428</v>
      </c>
      <c r="C4" s="42" t="s">
        <v>428</v>
      </c>
      <c r="D4" s="42" t="s">
        <v>428</v>
      </c>
      <c r="E4" s="44" t="s">
        <v>429</v>
      </c>
      <c r="F4" s="42" t="s">
        <v>428</v>
      </c>
      <c r="I4" s="41" t="s">
        <v>459</v>
      </c>
      <c r="J4" s="50" t="s">
        <v>460</v>
      </c>
      <c r="K4" s="50" t="s">
        <v>461</v>
      </c>
      <c r="L4" s="50" t="s">
        <v>462</v>
      </c>
      <c r="M4" s="50" t="s">
        <v>463</v>
      </c>
      <c r="N4" s="50" t="s">
        <v>464</v>
      </c>
      <c r="P4" s="53" t="s">
        <v>492</v>
      </c>
      <c r="Q4" s="42" t="s">
        <v>497</v>
      </c>
      <c r="R4" s="42" t="s">
        <v>497</v>
      </c>
      <c r="S4" s="42" t="s">
        <v>497</v>
      </c>
      <c r="T4" s="42" t="s">
        <v>498</v>
      </c>
      <c r="U4" s="42" t="s">
        <v>498</v>
      </c>
      <c r="W4" s="32" t="s">
        <v>492</v>
      </c>
      <c r="X4" s="45" t="s">
        <v>497</v>
      </c>
      <c r="Y4" s="45" t="s">
        <v>497</v>
      </c>
      <c r="Z4" s="45" t="s">
        <v>497</v>
      </c>
      <c r="AA4" s="45" t="s">
        <v>498</v>
      </c>
      <c r="AB4" s="45" t="s">
        <v>498</v>
      </c>
    </row>
    <row r="5" spans="1:28" ht="352.5">
      <c r="A5" s="43">
        <v>2021</v>
      </c>
      <c r="B5" s="42" t="s">
        <v>428</v>
      </c>
      <c r="C5" s="44" t="s">
        <v>430</v>
      </c>
      <c r="D5" s="42" t="s">
        <v>431</v>
      </c>
      <c r="E5" s="42" t="s">
        <v>432</v>
      </c>
      <c r="F5" s="42" t="s">
        <v>428</v>
      </c>
      <c r="I5" s="41" t="s">
        <v>465</v>
      </c>
      <c r="J5" s="41" t="s">
        <v>466</v>
      </c>
      <c r="K5" s="41" t="s">
        <v>467</v>
      </c>
      <c r="L5" s="41" t="s">
        <v>468</v>
      </c>
      <c r="M5" s="52" t="s">
        <v>469</v>
      </c>
      <c r="N5" s="52" t="s">
        <v>470</v>
      </c>
      <c r="P5" s="53" t="s">
        <v>493</v>
      </c>
      <c r="Q5" s="42" t="s">
        <v>497</v>
      </c>
      <c r="R5" s="42" t="s">
        <v>497</v>
      </c>
      <c r="S5" s="42" t="s">
        <v>497</v>
      </c>
      <c r="T5" s="42" t="s">
        <v>498</v>
      </c>
      <c r="U5" s="42" t="s">
        <v>498</v>
      </c>
      <c r="W5" s="32" t="s">
        <v>493</v>
      </c>
      <c r="X5" s="45" t="s">
        <v>497</v>
      </c>
      <c r="Y5" s="45" t="s">
        <v>497</v>
      </c>
      <c r="Z5" s="45" t="s">
        <v>509</v>
      </c>
      <c r="AA5" s="45" t="s">
        <v>498</v>
      </c>
      <c r="AB5" s="45" t="s">
        <v>498</v>
      </c>
    </row>
    <row r="6" spans="1:28" ht="352.5">
      <c r="A6" s="43">
        <v>2022</v>
      </c>
      <c r="B6" s="42" t="s">
        <v>428</v>
      </c>
      <c r="C6" s="42" t="s">
        <v>433</v>
      </c>
      <c r="D6" s="42" t="s">
        <v>434</v>
      </c>
      <c r="E6" s="42" t="s">
        <v>432</v>
      </c>
      <c r="F6" s="44" t="s">
        <v>435</v>
      </c>
      <c r="I6" s="41" t="s">
        <v>471</v>
      </c>
      <c r="J6" s="50" t="s">
        <v>472</v>
      </c>
      <c r="K6" s="52" t="s">
        <v>473</v>
      </c>
      <c r="L6" s="50" t="s">
        <v>474</v>
      </c>
      <c r="M6" s="50" t="s">
        <v>475</v>
      </c>
      <c r="N6" s="50" t="s">
        <v>476</v>
      </c>
      <c r="P6" s="53" t="s">
        <v>494</v>
      </c>
      <c r="Q6" s="42" t="s">
        <v>497</v>
      </c>
      <c r="R6" s="42" t="s">
        <v>497</v>
      </c>
      <c r="S6" s="42" t="s">
        <v>497</v>
      </c>
      <c r="T6" s="42" t="s">
        <v>498</v>
      </c>
      <c r="U6" s="42" t="s">
        <v>498</v>
      </c>
      <c r="W6" s="32" t="s">
        <v>494</v>
      </c>
      <c r="X6" s="45" t="s">
        <v>497</v>
      </c>
      <c r="Y6" s="45" t="s">
        <v>497</v>
      </c>
      <c r="Z6" s="45" t="s">
        <v>497</v>
      </c>
      <c r="AA6" s="45" t="s">
        <v>511</v>
      </c>
      <c r="AB6" s="45" t="s">
        <v>498</v>
      </c>
    </row>
    <row r="7" spans="1:28" ht="394.8">
      <c r="A7" s="43">
        <v>2023</v>
      </c>
      <c r="B7" s="42" t="s">
        <v>436</v>
      </c>
      <c r="C7" s="42" t="s">
        <v>437</v>
      </c>
      <c r="D7" s="44" t="s">
        <v>438</v>
      </c>
      <c r="E7" s="42" t="s">
        <v>432</v>
      </c>
      <c r="F7" s="42" t="s">
        <v>432</v>
      </c>
      <c r="I7" s="41" t="s">
        <v>477</v>
      </c>
      <c r="J7" s="50" t="s">
        <v>478</v>
      </c>
      <c r="K7" s="50" t="s">
        <v>479</v>
      </c>
      <c r="L7" s="50" t="s">
        <v>480</v>
      </c>
      <c r="M7" s="50" t="s">
        <v>481</v>
      </c>
      <c r="N7" s="50" t="s">
        <v>482</v>
      </c>
      <c r="P7" s="53" t="s">
        <v>495</v>
      </c>
      <c r="Q7" s="42" t="s">
        <v>497</v>
      </c>
      <c r="R7" s="42" t="s">
        <v>497</v>
      </c>
      <c r="S7" s="42" t="s">
        <v>497</v>
      </c>
      <c r="T7" s="42" t="s">
        <v>498</v>
      </c>
      <c r="U7" s="42" t="s">
        <v>498</v>
      </c>
      <c r="W7" s="32" t="s">
        <v>495</v>
      </c>
      <c r="X7" s="45" t="s">
        <v>497</v>
      </c>
      <c r="Y7" s="45" t="s">
        <v>497</v>
      </c>
      <c r="Z7" s="45" t="s">
        <v>497</v>
      </c>
      <c r="AA7" s="45" t="s">
        <v>498</v>
      </c>
      <c r="AB7" s="45" t="s">
        <v>498</v>
      </c>
    </row>
    <row r="8" spans="1:28" ht="394.8">
      <c r="A8" s="43">
        <v>2024</v>
      </c>
      <c r="B8" s="42" t="s">
        <v>439</v>
      </c>
      <c r="C8" s="42" t="s">
        <v>440</v>
      </c>
      <c r="D8" s="44" t="s">
        <v>441</v>
      </c>
      <c r="E8" s="42" t="s">
        <v>442</v>
      </c>
      <c r="F8" s="42" t="s">
        <v>443</v>
      </c>
      <c r="I8" s="41" t="s">
        <v>483</v>
      </c>
      <c r="J8" s="41" t="s">
        <v>484</v>
      </c>
      <c r="K8" s="52" t="s">
        <v>485</v>
      </c>
      <c r="L8" s="52" t="s">
        <v>486</v>
      </c>
      <c r="M8" s="41" t="s">
        <v>487</v>
      </c>
      <c r="N8" s="52" t="s">
        <v>488</v>
      </c>
      <c r="P8" s="53" t="s">
        <v>496</v>
      </c>
      <c r="Q8" s="42" t="s">
        <v>497</v>
      </c>
      <c r="R8" s="42" t="s">
        <v>498</v>
      </c>
      <c r="S8" s="42" t="s">
        <v>499</v>
      </c>
      <c r="T8" s="42" t="s">
        <v>499</v>
      </c>
      <c r="U8" s="42" t="s">
        <v>499</v>
      </c>
      <c r="W8" s="32" t="s">
        <v>503</v>
      </c>
      <c r="X8" s="45" t="s">
        <v>505</v>
      </c>
      <c r="Y8" s="42" t="s">
        <v>498</v>
      </c>
      <c r="Z8" s="45" t="s">
        <v>499</v>
      </c>
      <c r="AA8" s="45" t="s">
        <v>499</v>
      </c>
      <c r="AB8" s="45" t="s">
        <v>499</v>
      </c>
    </row>
    <row r="9" spans="1:28" ht="141">
      <c r="A9" s="43">
        <v>2025</v>
      </c>
      <c r="B9" s="42" t="s">
        <v>444</v>
      </c>
      <c r="C9" s="42" t="s">
        <v>445</v>
      </c>
      <c r="D9" s="42" t="s">
        <v>446</v>
      </c>
      <c r="E9" s="42" t="s">
        <v>447</v>
      </c>
      <c r="F9" s="44" t="s">
        <v>448</v>
      </c>
    </row>
    <row r="10" spans="1:28">
      <c r="I10" s="51" t="s">
        <v>489</v>
      </c>
    </row>
    <row r="11" spans="1:28">
      <c r="A11" t="s">
        <v>449</v>
      </c>
    </row>
  </sheetData>
  <phoneticPr fontId="4" type="noConversion"/>
  <hyperlinks>
    <hyperlink ref="E4" r:id="rId1" location=":~:text=Intel%20today%20announced%20a%20new,from%20Barefoot%20Networks%20last%20year" display="https://www.tomshardware.com/news/intel-demonstrates-industrys-first-co-packaged-switch-with-16tbps-silicon-photonics - :~:text=Intel%20today%20announced%20a%20new,from%20Barefoot%20Networks%20last%20year" xr:uid="{E47C9E9A-5320-4280-A9FD-7A1BCC2FE64F}"/>
    <hyperlink ref="C5" r:id="rId2" location=":~:text=It%20is%20official,customers%2C%20but%20it%20is%20a" display="https://www.lightcounting.com/research-note/january-2021-research-note-broadcom-announces-switches-with-co-packaged-optics-cpo-6 - :~:text=It%20is%20official,customers%2C%20but%20it%20is%20a" xr:uid="{0B8615A4-4080-4A77-A7B1-D7C11B20CF56}"/>
    <hyperlink ref="F6" r:id="rId3" location=":~:text=Demonstrations%3A%20Visit%20Marvell%27s%20booth%20to,ecosystem%20approach%20for%20switch%20and" display="https://investor.marvell.com/2022-03-07-Marvell-to-Showcase-Cloud-Optimized-Silicon-Solutions-at-OFC-2022 - :~:text=Demonstrations%3A%20Visit%20Marvell%27s%20booth%20to,ecosystem%20approach%20for%20switch%20and" xr:uid="{FA1E736E-06FE-4876-B1D0-4341B33B3418}"/>
    <hyperlink ref="D7" r:id="rId4" location=":~:text=The%20silicon%20photonics%20era%20could,signal%20transmission%20for%20computing%20tasks" display="https://www.trendforce.com/news/2024/12/30/news-tsmc-advances-in-silicon-photonics-broadcom-and-nvidia-set-to-be-first-customers/ - :~:text=The%20silicon%20photonics%20era%20could,signal%20transmission%20for%20computing%20tasks" xr:uid="{893BD8B1-20BD-4394-93EA-656D976FA5FD}"/>
    <hyperlink ref="D8" r:id="rId5" location=":~:text=According%20to%20a%20report%20by,first%20customers%20for%20these%20solutions" display="https://www.trendforce.com/news/2024/12/30/news-tsmc-advances-in-silicon-photonics-broadcom-and-nvidia-set-to-be-first-customers/ - :~:text=According%20to%20a%20report%20by,first%20customers%20for%20these%20solutions" xr:uid="{42AB86FF-4589-4F96-A33F-8A397267330A}"/>
    <hyperlink ref="F9" r:id="rId6" location=":~:text=First%20demonstrated%20at%20OFC%202024%2C,lower%20power%20per%20bit" display="https://www.marvell.com/company/newsroom/marvell-co-packaged-optics-architecture-custom-ai-accelerators.html - :~:text=First%20demonstrated%20at%20OFC%202024%2C,lower%20power%20per%20bit" xr:uid="{7CA9827D-E440-4BDA-8D43-88D97E8BE617}"/>
    <hyperlink ref="M5" r:id="rId7" location=":~:text=transceiver%20and%20micro,to%20improve%20yield%2C%20laying%20the" display="https://www.fibermall.com/news/ofc-2024-cpo-era.htm?srsltid=AfmBOoqgAazd1B4mFMeG5tO1Xh7z1GcdWIf6lejIw7iNmyAhEs8qHrBo - :~:text=transceiver%20and%20micro,to%20improve%20yield%2C%20laying%20the" xr:uid="{D56F5EF4-069B-4771-A0F3-FAE5E89DFF58}"/>
    <hyperlink ref="N5" r:id="rId8" location=":~:text=To%20help%20operators%20meet%20their,performance%20computing%20%28HPC%29%20fabrics" display="https://www.marvell.com/blogs/51-2t-teralynx-10-industrys-lowest-latency-programmable-switch.html - :~:text=To%20help%20operators%20meet%20their,performance%20computing%20%28HPC%29%20fabrics" xr:uid="{0CFD408F-958C-4EAC-8491-D4340813868E}"/>
    <hyperlink ref="K6" r:id="rId9" location=":~:text=to%20achieve%20high%20bandwidth%20and,integrate%20COUPE%20into%20processor%20packaging" display="https://www.fibermall.com/blog/era-of-ai-optical-communication.htm?srsltid=AfmBOorhJ-LQlRsqNMUylHKnlCaTLmjbGEbyZs9te97SweEXonMfpB5L - :~:text=to%20achieve%20high%20bandwidth%20and,integrate%20COUPE%20into%20processor%20packaging" xr:uid="{30AD2FE7-B4E0-4D8C-AE01-30AFF32D0CBF}"/>
    <hyperlink ref="K8" r:id="rId10" location=":~:text=Co,the%20Spotlight" display="https://ayarlabs.com/news/ayar-labs-155m-series-d-to-address-ai-infrastructure-includes-amd-intel-capital-nvidia/ - :~:text=Co,the%20Spotlight" xr:uid="{C85AB1AB-B8F2-4E67-9A47-98911D8E2C7A}"/>
    <hyperlink ref="L8" r:id="rId11" location=":~:text=As%20a%20result%20of%20these,30" display="https://blogs.cisco.com/sp/cisco-demonstrates-co-packaged-optics-cpo-system-at-ofc-2023 - :~:text=As%20a%20result%20of%20these,30" xr:uid="{37A669F6-1D86-4DD2-8D3E-1302CF0C23CF}"/>
    <hyperlink ref="N8" r:id="rId12" location=":~:text=performance,generation%20custom%20XPU%20designs" display="https://picmagazine.net/article/120911/Marvell_announces_new_CPO_architecture_for_custom_AI_accelerators - :~:text=performance,generation%20custom%20XPU%20designs" xr:uid="{E0E4D44A-F902-44C6-9ADF-D8B2DFFF53E3}"/>
  </hyperlinks>
  <pageMargins left="0.7" right="0.7" top="0.75" bottom="0.75" header="0.3" footer="0.3"/>
  <drawing r:id="rId1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CFDA-597A-4348-9876-C8589B004DD0}">
  <dimension ref="A1:C13"/>
  <sheetViews>
    <sheetView topLeftCell="A5" workbookViewId="0">
      <selection activeCell="C16" sqref="C16"/>
    </sheetView>
  </sheetViews>
  <sheetFormatPr defaultRowHeight="14.1"/>
  <cols>
    <col min="1" max="1" width="8.59765625" bestFit="1" customWidth="1"/>
    <col min="2" max="2" width="52.09765625" customWidth="1"/>
    <col min="3" max="3" width="43.59765625" customWidth="1"/>
  </cols>
  <sheetData>
    <row r="1" spans="1:3">
      <c r="A1" s="37"/>
    </row>
    <row r="2" spans="1:3" ht="16.2">
      <c r="A2" s="32"/>
      <c r="B2" s="36" t="s">
        <v>415</v>
      </c>
      <c r="C2" s="36" t="s">
        <v>416</v>
      </c>
    </row>
    <row r="3" spans="1:3" ht="32.4">
      <c r="A3" s="33" t="s">
        <v>396</v>
      </c>
      <c r="B3" s="33" t="s">
        <v>411</v>
      </c>
      <c r="C3" s="33" t="s">
        <v>412</v>
      </c>
    </row>
    <row r="4" spans="1:3" ht="16.2">
      <c r="A4" s="33" t="s">
        <v>397</v>
      </c>
      <c r="B4" s="39" t="s">
        <v>414</v>
      </c>
      <c r="C4" s="33" t="s">
        <v>413</v>
      </c>
    </row>
    <row r="5" spans="1:3" ht="30">
      <c r="A5" s="90" t="s">
        <v>398</v>
      </c>
      <c r="B5" s="33" t="s">
        <v>417</v>
      </c>
      <c r="C5" s="33" t="s">
        <v>419</v>
      </c>
    </row>
    <row r="6" spans="1:3" ht="29.1">
      <c r="A6" s="90"/>
      <c r="B6" s="33" t="s">
        <v>418</v>
      </c>
      <c r="C6" s="33" t="s">
        <v>420</v>
      </c>
    </row>
    <row r="7" spans="1:3" ht="16.2">
      <c r="A7" s="90" t="s">
        <v>399</v>
      </c>
      <c r="B7" s="33" t="s">
        <v>400</v>
      </c>
      <c r="C7" s="33" t="s">
        <v>403</v>
      </c>
    </row>
    <row r="8" spans="1:3" ht="16.2">
      <c r="A8" s="90"/>
      <c r="B8" s="33" t="s">
        <v>401</v>
      </c>
      <c r="C8" s="33" t="s">
        <v>404</v>
      </c>
    </row>
    <row r="9" spans="1:3" ht="16.2">
      <c r="A9" s="90"/>
      <c r="B9" s="33" t="s">
        <v>402</v>
      </c>
      <c r="C9" s="33" t="s">
        <v>405</v>
      </c>
    </row>
    <row r="10" spans="1:3" ht="16.2">
      <c r="A10" s="90" t="s">
        <v>406</v>
      </c>
      <c r="B10" s="33" t="s">
        <v>407</v>
      </c>
      <c r="C10" s="33" t="s">
        <v>409</v>
      </c>
    </row>
    <row r="11" spans="1:3" ht="32.4">
      <c r="A11" s="90"/>
      <c r="B11" s="33" t="s">
        <v>408</v>
      </c>
      <c r="C11" s="33" t="s">
        <v>410</v>
      </c>
    </row>
    <row r="13" spans="1:3" ht="16.8">
      <c r="A13" s="38"/>
    </row>
  </sheetData>
  <mergeCells count="3">
    <mergeCell ref="A10:A11"/>
    <mergeCell ref="A5:A6"/>
    <mergeCell ref="A7:A9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A05F-3CAA-4085-95DD-31E3A1EA7D8E}">
  <dimension ref="A1:AB29"/>
  <sheetViews>
    <sheetView topLeftCell="A40" zoomScale="145" zoomScaleNormal="145" workbookViewId="0">
      <selection activeCell="L1" sqref="L1"/>
    </sheetView>
  </sheetViews>
  <sheetFormatPr defaultRowHeight="14.1"/>
  <cols>
    <col min="1" max="1" width="16.94921875" customWidth="1"/>
    <col min="22" max="22" width="26.8984375" bestFit="1" customWidth="1"/>
  </cols>
  <sheetData>
    <row r="1" spans="1:28">
      <c r="A1" s="51" t="s">
        <v>697</v>
      </c>
      <c r="L1" s="51" t="s">
        <v>708</v>
      </c>
      <c r="M1" t="s">
        <v>707</v>
      </c>
      <c r="V1" s="51" t="s">
        <v>703</v>
      </c>
      <c r="W1" s="23" t="s">
        <v>706</v>
      </c>
    </row>
    <row r="2" spans="1:28">
      <c r="V2" t="s">
        <v>704</v>
      </c>
      <c r="AB2" t="s">
        <v>705</v>
      </c>
    </row>
    <row r="27" spans="1:2">
      <c r="A27" s="51" t="s">
        <v>698</v>
      </c>
      <c r="B27" t="s">
        <v>699</v>
      </c>
    </row>
    <row r="28" spans="1:2">
      <c r="A28" t="s">
        <v>700</v>
      </c>
    </row>
    <row r="29" spans="1:2">
      <c r="A29" t="s">
        <v>701</v>
      </c>
    </row>
  </sheetData>
  <phoneticPr fontId="4" type="noConversion"/>
  <hyperlinks>
    <hyperlink ref="W1" r:id="rId1" xr:uid="{66374EB7-8F96-41CF-9CEF-55769FEF0987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C35B-0D74-4A3D-92E9-D566088E1D99}">
  <dimension ref="A1:AW25"/>
  <sheetViews>
    <sheetView tabSelected="1" topLeftCell="AB37" zoomScale="55" zoomScaleNormal="55" workbookViewId="0">
      <selection activeCell="D24" sqref="B22:D24"/>
    </sheetView>
  </sheetViews>
  <sheetFormatPr defaultRowHeight="14.1"/>
  <cols>
    <col min="1" max="1" width="21.046875" customWidth="1"/>
    <col min="46" max="46" width="9.8984375" bestFit="1" customWidth="1"/>
    <col min="47" max="47" width="9.8984375" customWidth="1"/>
  </cols>
  <sheetData>
    <row r="1" spans="1:49" ht="16.2">
      <c r="A1" t="s">
        <v>514</v>
      </c>
      <c r="K1" t="s">
        <v>515</v>
      </c>
      <c r="W1" t="s">
        <v>517</v>
      </c>
      <c r="X1">
        <v>2025</v>
      </c>
      <c r="AC1" t="s">
        <v>526</v>
      </c>
      <c r="AN1" s="56" t="s">
        <v>579</v>
      </c>
    </row>
    <row r="2" spans="1:49">
      <c r="B2">
        <v>2024</v>
      </c>
      <c r="C2">
        <v>2025</v>
      </c>
      <c r="D2">
        <v>2026</v>
      </c>
      <c r="X2" t="s">
        <v>524</v>
      </c>
      <c r="Y2" t="s">
        <v>525</v>
      </c>
      <c r="AC2" s="37"/>
      <c r="AV2" s="37"/>
    </row>
    <row r="3" spans="1:49" ht="56.4">
      <c r="A3" t="s">
        <v>512</v>
      </c>
      <c r="B3" s="8">
        <v>0.2</v>
      </c>
      <c r="C3" s="8">
        <v>0.33</v>
      </c>
      <c r="D3" s="8">
        <v>0.5</v>
      </c>
      <c r="W3" t="s">
        <v>518</v>
      </c>
      <c r="X3">
        <v>140</v>
      </c>
      <c r="Y3">
        <v>150</v>
      </c>
      <c r="AC3" s="32" t="s">
        <v>502</v>
      </c>
      <c r="AD3" s="32" t="s">
        <v>527</v>
      </c>
      <c r="AE3" s="32" t="s">
        <v>528</v>
      </c>
      <c r="AF3" s="32" t="s">
        <v>529</v>
      </c>
      <c r="AG3" s="32" t="s">
        <v>530</v>
      </c>
      <c r="AH3" s="32" t="s">
        <v>531</v>
      </c>
      <c r="AI3" s="32" t="s">
        <v>532</v>
      </c>
      <c r="AJ3" s="32" t="s">
        <v>533</v>
      </c>
      <c r="AK3" s="32" t="s">
        <v>534</v>
      </c>
      <c r="AL3" s="32" t="s">
        <v>535</v>
      </c>
      <c r="AN3" s="32" t="s">
        <v>502</v>
      </c>
      <c r="AO3" s="32" t="s">
        <v>527</v>
      </c>
      <c r="AP3" s="32" t="s">
        <v>582</v>
      </c>
      <c r="AQ3" s="36" t="s">
        <v>575</v>
      </c>
      <c r="AR3" s="36" t="s">
        <v>583</v>
      </c>
      <c r="AS3" s="36" t="s">
        <v>585</v>
      </c>
      <c r="AT3" s="32" t="s">
        <v>584</v>
      </c>
      <c r="AU3" s="32"/>
      <c r="AV3" s="32" t="s">
        <v>586</v>
      </c>
      <c r="AW3" s="32" t="s">
        <v>593</v>
      </c>
    </row>
    <row r="4" spans="1:49" ht="27.6">
      <c r="A4" t="s">
        <v>513</v>
      </c>
      <c r="B4" s="8">
        <v>0.8</v>
      </c>
      <c r="C4" s="8">
        <f>1-C3</f>
        <v>0.66999999999999993</v>
      </c>
      <c r="D4" s="8">
        <v>0.5</v>
      </c>
      <c r="W4" t="s">
        <v>519</v>
      </c>
      <c r="X4" s="54"/>
      <c r="Y4" s="54"/>
      <c r="AC4" s="45" t="s">
        <v>506</v>
      </c>
      <c r="AD4" s="45" t="s">
        <v>536</v>
      </c>
      <c r="AE4" s="45" t="s">
        <v>537</v>
      </c>
      <c r="AF4" s="45">
        <v>5000</v>
      </c>
      <c r="AG4" s="45">
        <v>2700</v>
      </c>
      <c r="AH4" s="45">
        <v>1.9</v>
      </c>
      <c r="AI4" s="45" t="s">
        <v>538</v>
      </c>
      <c r="AJ4" s="45">
        <v>384</v>
      </c>
      <c r="AK4" s="45" t="s">
        <v>539</v>
      </c>
      <c r="AL4" s="45">
        <v>1800</v>
      </c>
      <c r="AN4" s="45" t="s">
        <v>506</v>
      </c>
      <c r="AO4" s="45" t="s">
        <v>536</v>
      </c>
      <c r="AP4" s="57">
        <v>5000</v>
      </c>
      <c r="AQ4" s="45">
        <v>1800</v>
      </c>
      <c r="AR4" s="45"/>
      <c r="AS4" s="45">
        <v>2025</v>
      </c>
      <c r="AT4" s="60">
        <v>45658</v>
      </c>
      <c r="AU4" s="60">
        <v>45658</v>
      </c>
      <c r="AV4" t="s">
        <v>513</v>
      </c>
      <c r="AW4" s="8"/>
    </row>
    <row r="5" spans="1:49" ht="27.6">
      <c r="A5" t="s">
        <v>516</v>
      </c>
      <c r="B5" s="55">
        <f>B3*0.55</f>
        <v>0.11000000000000001</v>
      </c>
      <c r="C5" s="55">
        <f t="shared" ref="C5:D5" si="0">C3*0.55</f>
        <v>0.18150000000000002</v>
      </c>
      <c r="D5" s="55">
        <f t="shared" si="0"/>
        <v>0.27500000000000002</v>
      </c>
      <c r="W5" t="s">
        <v>520</v>
      </c>
      <c r="AC5" s="45" t="s">
        <v>506</v>
      </c>
      <c r="AD5" s="45" t="s">
        <v>277</v>
      </c>
      <c r="AE5" s="45" t="s">
        <v>537</v>
      </c>
      <c r="AF5" s="45">
        <v>2200</v>
      </c>
      <c r="AG5" s="45">
        <v>1000</v>
      </c>
      <c r="AH5" s="45">
        <v>2.2000000000000002</v>
      </c>
      <c r="AI5" s="45" t="s">
        <v>538</v>
      </c>
      <c r="AJ5" s="45">
        <v>190</v>
      </c>
      <c r="AK5" s="45" t="s">
        <v>539</v>
      </c>
      <c r="AL5" s="45">
        <v>1800</v>
      </c>
      <c r="AN5" s="45" t="s">
        <v>506</v>
      </c>
      <c r="AO5" s="45" t="s">
        <v>277</v>
      </c>
      <c r="AP5" s="57">
        <v>2200</v>
      </c>
      <c r="AQ5" s="45">
        <v>1800</v>
      </c>
      <c r="AR5" s="45"/>
      <c r="AS5" s="45">
        <v>2024</v>
      </c>
      <c r="AT5" s="60">
        <v>45566</v>
      </c>
      <c r="AU5" s="60">
        <v>45292</v>
      </c>
      <c r="AV5" t="s">
        <v>513</v>
      </c>
      <c r="AW5" s="8"/>
    </row>
    <row r="6" spans="1:49" ht="27.6">
      <c r="W6" t="s">
        <v>521</v>
      </c>
      <c r="X6">
        <v>150</v>
      </c>
      <c r="Y6">
        <v>250</v>
      </c>
      <c r="AC6" s="45" t="s">
        <v>506</v>
      </c>
      <c r="AD6" s="45" t="s">
        <v>540</v>
      </c>
      <c r="AE6" s="45" t="s">
        <v>541</v>
      </c>
      <c r="AF6" s="45">
        <v>990</v>
      </c>
      <c r="AG6" s="45">
        <v>700</v>
      </c>
      <c r="AH6" s="45">
        <v>1.4</v>
      </c>
      <c r="AI6" s="45" t="s">
        <v>538</v>
      </c>
      <c r="AJ6" s="45">
        <v>141</v>
      </c>
      <c r="AK6" s="45" t="s">
        <v>542</v>
      </c>
      <c r="AL6" s="45">
        <v>900</v>
      </c>
      <c r="AN6" s="45" t="s">
        <v>506</v>
      </c>
      <c r="AO6" s="45" t="s">
        <v>540</v>
      </c>
      <c r="AP6" s="57">
        <v>1979</v>
      </c>
      <c r="AQ6" s="45">
        <v>900</v>
      </c>
      <c r="AR6" s="45"/>
      <c r="AS6" s="45">
        <v>2023</v>
      </c>
      <c r="AT6" s="60">
        <v>45200</v>
      </c>
      <c r="AU6" s="60">
        <v>44927</v>
      </c>
      <c r="AV6" t="s">
        <v>513</v>
      </c>
      <c r="AW6" s="8"/>
    </row>
    <row r="7" spans="1:49" ht="27.6">
      <c r="B7">
        <v>2024</v>
      </c>
      <c r="C7" t="s">
        <v>91</v>
      </c>
      <c r="D7" t="s">
        <v>719</v>
      </c>
      <c r="W7" t="s">
        <v>522</v>
      </c>
      <c r="X7">
        <v>10</v>
      </c>
      <c r="Y7">
        <v>50</v>
      </c>
      <c r="AC7" s="45" t="s">
        <v>506</v>
      </c>
      <c r="AD7" s="45" t="s">
        <v>543</v>
      </c>
      <c r="AE7" s="45" t="s">
        <v>541</v>
      </c>
      <c r="AF7" s="45">
        <v>990</v>
      </c>
      <c r="AG7" s="45">
        <v>700</v>
      </c>
      <c r="AH7" s="45">
        <v>1.4</v>
      </c>
      <c r="AI7" s="45" t="s">
        <v>544</v>
      </c>
      <c r="AJ7" s="45">
        <v>80</v>
      </c>
      <c r="AK7" s="45" t="s">
        <v>542</v>
      </c>
      <c r="AL7" s="45">
        <v>900</v>
      </c>
      <c r="AN7" s="45" t="s">
        <v>506</v>
      </c>
      <c r="AO7" s="45" t="s">
        <v>543</v>
      </c>
      <c r="AP7" s="57">
        <v>1979</v>
      </c>
      <c r="AQ7" s="45">
        <v>900</v>
      </c>
      <c r="AR7" s="45"/>
      <c r="AS7" s="45">
        <v>2022</v>
      </c>
      <c r="AT7" s="60">
        <v>44562</v>
      </c>
      <c r="AU7" s="60">
        <v>44562</v>
      </c>
      <c r="AV7" t="s">
        <v>513</v>
      </c>
      <c r="AW7" s="8"/>
    </row>
    <row r="8" spans="1:49" ht="27.6">
      <c r="A8" s="51" t="s">
        <v>513</v>
      </c>
      <c r="B8">
        <v>450</v>
      </c>
      <c r="C8">
        <v>550</v>
      </c>
      <c r="D8" t="s">
        <v>720</v>
      </c>
      <c r="W8" t="s">
        <v>523</v>
      </c>
      <c r="AC8" s="45" t="s">
        <v>506</v>
      </c>
      <c r="AD8" s="45" t="s">
        <v>545</v>
      </c>
      <c r="AE8" s="45" t="s">
        <v>546</v>
      </c>
      <c r="AF8" s="45">
        <v>312</v>
      </c>
      <c r="AG8" s="45">
        <v>400</v>
      </c>
      <c r="AH8" s="45">
        <v>0.8</v>
      </c>
      <c r="AI8" s="45" t="s">
        <v>547</v>
      </c>
      <c r="AJ8" s="45">
        <v>80</v>
      </c>
      <c r="AK8" s="45" t="s">
        <v>548</v>
      </c>
      <c r="AL8" s="45">
        <v>400</v>
      </c>
      <c r="AN8" s="45" t="s">
        <v>506</v>
      </c>
      <c r="AO8" s="45" t="s">
        <v>545</v>
      </c>
      <c r="AP8" s="57">
        <v>312</v>
      </c>
      <c r="AQ8" s="45">
        <v>400</v>
      </c>
      <c r="AR8" s="45"/>
      <c r="AS8" s="45">
        <v>2022</v>
      </c>
      <c r="AT8" s="60">
        <v>44562</v>
      </c>
      <c r="AU8" s="60">
        <v>44562</v>
      </c>
      <c r="AV8" t="s">
        <v>513</v>
      </c>
      <c r="AW8" s="8"/>
    </row>
    <row r="9" spans="1:49" ht="16.2">
      <c r="A9" s="51" t="s">
        <v>512</v>
      </c>
      <c r="B9" s="12">
        <v>280</v>
      </c>
      <c r="C9" s="12">
        <v>390</v>
      </c>
      <c r="D9" t="s">
        <v>720</v>
      </c>
      <c r="AC9" s="45" t="s">
        <v>549</v>
      </c>
      <c r="AD9" s="45" t="s">
        <v>550</v>
      </c>
      <c r="AE9" s="45" t="s">
        <v>551</v>
      </c>
      <c r="AF9" s="45" t="s">
        <v>552</v>
      </c>
      <c r="AG9" s="45" t="s">
        <v>553</v>
      </c>
      <c r="AH9" s="45" t="s">
        <v>554</v>
      </c>
      <c r="AI9" s="45" t="s">
        <v>538</v>
      </c>
      <c r="AJ9" s="45">
        <v>192</v>
      </c>
      <c r="AK9" s="45" t="s">
        <v>555</v>
      </c>
      <c r="AL9" s="45">
        <v>672</v>
      </c>
      <c r="AN9" s="45" t="s">
        <v>549</v>
      </c>
      <c r="AO9" s="45" t="s">
        <v>550</v>
      </c>
      <c r="AP9" s="57">
        <v>2307</v>
      </c>
      <c r="AQ9" s="45">
        <v>672</v>
      </c>
      <c r="AR9" s="45"/>
      <c r="AS9" s="45">
        <v>2025</v>
      </c>
      <c r="AT9" s="60">
        <v>45839</v>
      </c>
      <c r="AU9" s="60">
        <v>45658</v>
      </c>
      <c r="AV9" t="s">
        <v>587</v>
      </c>
      <c r="AW9" s="8">
        <f>AP9/AP4</f>
        <v>0.46139999999999998</v>
      </c>
    </row>
    <row r="10" spans="1:49" ht="16.2">
      <c r="A10" t="s">
        <v>596</v>
      </c>
      <c r="B10" s="12">
        <v>80</v>
      </c>
      <c r="C10" s="12">
        <v>120</v>
      </c>
      <c r="D10" t="s">
        <v>720</v>
      </c>
      <c r="W10" t="s">
        <v>594</v>
      </c>
      <c r="X10" t="s">
        <v>595</v>
      </c>
      <c r="AC10" s="45" t="s">
        <v>549</v>
      </c>
      <c r="AD10" s="45" t="s">
        <v>556</v>
      </c>
      <c r="AE10" s="45" t="s">
        <v>541</v>
      </c>
      <c r="AF10" s="45">
        <v>918</v>
      </c>
      <c r="AG10" s="45">
        <v>383</v>
      </c>
      <c r="AH10" s="45">
        <v>2.4</v>
      </c>
      <c r="AI10" s="45" t="s">
        <v>538</v>
      </c>
      <c r="AJ10" s="45">
        <v>32</v>
      </c>
      <c r="AK10" s="45" t="s">
        <v>555</v>
      </c>
      <c r="AL10" s="45">
        <v>448</v>
      </c>
      <c r="AN10" s="45" t="s">
        <v>549</v>
      </c>
      <c r="AO10" s="45" t="s">
        <v>556</v>
      </c>
      <c r="AP10" s="57">
        <v>918</v>
      </c>
      <c r="AQ10" s="45">
        <v>448</v>
      </c>
      <c r="AR10" s="45"/>
      <c r="AS10" s="45">
        <v>2024</v>
      </c>
      <c r="AT10" s="60">
        <v>45413</v>
      </c>
      <c r="AU10" s="60">
        <v>45292</v>
      </c>
      <c r="AV10" t="s">
        <v>587</v>
      </c>
      <c r="AW10" s="8">
        <f>AP10/AP5</f>
        <v>0.4172727272727273</v>
      </c>
    </row>
    <row r="11" spans="1:49" ht="16.2">
      <c r="A11" t="s">
        <v>597</v>
      </c>
      <c r="B11" s="12">
        <v>180</v>
      </c>
      <c r="C11" s="12">
        <v>220</v>
      </c>
      <c r="D11" t="s">
        <v>720</v>
      </c>
      <c r="W11" t="s">
        <v>596</v>
      </c>
      <c r="X11">
        <v>150</v>
      </c>
      <c r="AC11" s="45" t="s">
        <v>549</v>
      </c>
      <c r="AD11" s="45" t="s">
        <v>557</v>
      </c>
      <c r="AE11" s="45" t="s">
        <v>558</v>
      </c>
      <c r="AF11" s="45">
        <v>196.5</v>
      </c>
      <c r="AG11" s="45">
        <v>225</v>
      </c>
      <c r="AH11" s="45">
        <v>0.9</v>
      </c>
      <c r="AI11" s="45" t="s">
        <v>544</v>
      </c>
      <c r="AJ11" s="45">
        <v>16</v>
      </c>
      <c r="AK11" s="45" t="s">
        <v>555</v>
      </c>
      <c r="AL11" s="45">
        <v>600</v>
      </c>
      <c r="AN11" s="45" t="s">
        <v>549</v>
      </c>
      <c r="AO11" s="45" t="s">
        <v>557</v>
      </c>
      <c r="AP11" s="57">
        <v>196.5</v>
      </c>
      <c r="AQ11" s="45">
        <v>600</v>
      </c>
      <c r="AR11" s="45"/>
      <c r="AS11" s="45">
        <v>2023</v>
      </c>
      <c r="AT11" s="60">
        <v>45139</v>
      </c>
      <c r="AU11" s="60">
        <v>44927</v>
      </c>
      <c r="AV11" t="s">
        <v>587</v>
      </c>
      <c r="AW11" s="8"/>
    </row>
    <row r="12" spans="1:49" ht="16.2">
      <c r="A12" t="s">
        <v>598</v>
      </c>
      <c r="B12" s="12">
        <v>0</v>
      </c>
      <c r="C12" s="12">
        <v>20</v>
      </c>
      <c r="D12" t="s">
        <v>721</v>
      </c>
      <c r="W12" t="s">
        <v>597</v>
      </c>
      <c r="X12">
        <v>250</v>
      </c>
      <c r="Z12">
        <f>(X12+X13)/SUM(X11:X13)</f>
        <v>0.65116279069767447</v>
      </c>
      <c r="AC12" s="45" t="s">
        <v>559</v>
      </c>
      <c r="AD12" s="45" t="s">
        <v>560</v>
      </c>
      <c r="AE12" s="45" t="s">
        <v>561</v>
      </c>
      <c r="AF12" s="45">
        <v>1310</v>
      </c>
      <c r="AG12" s="45">
        <v>728</v>
      </c>
      <c r="AH12" s="45">
        <v>1.8</v>
      </c>
      <c r="AI12" s="45" t="s">
        <v>538</v>
      </c>
      <c r="AJ12" s="45" t="s">
        <v>160</v>
      </c>
      <c r="AK12" s="45" t="s">
        <v>160</v>
      </c>
      <c r="AL12" s="45" t="s">
        <v>160</v>
      </c>
      <c r="AN12" s="45" t="s">
        <v>559</v>
      </c>
      <c r="AO12" s="45" t="s">
        <v>560</v>
      </c>
      <c r="AP12" s="57">
        <v>1310</v>
      </c>
      <c r="AQ12" s="45" t="s">
        <v>160</v>
      </c>
      <c r="AR12" s="45"/>
      <c r="AS12" s="45">
        <v>2026</v>
      </c>
      <c r="AT12" s="60">
        <v>46204</v>
      </c>
      <c r="AU12" s="60"/>
      <c r="AV12" t="s">
        <v>587</v>
      </c>
      <c r="AW12" s="8"/>
    </row>
    <row r="13" spans="1:49" ht="27.6">
      <c r="A13" t="s">
        <v>718</v>
      </c>
      <c r="B13" s="12">
        <f>B9-SUM(B10:B12)</f>
        <v>20</v>
      </c>
      <c r="C13" s="12">
        <f>C9-SUM(C10:C12)</f>
        <v>30</v>
      </c>
      <c r="W13" t="s">
        <v>598</v>
      </c>
      <c r="X13">
        <v>30</v>
      </c>
      <c r="AC13" s="45" t="s">
        <v>559</v>
      </c>
      <c r="AD13" s="45" t="s">
        <v>562</v>
      </c>
      <c r="AE13" s="45" t="s">
        <v>558</v>
      </c>
      <c r="AF13" s="45">
        <v>667</v>
      </c>
      <c r="AG13" s="45">
        <v>500</v>
      </c>
      <c r="AH13" s="45">
        <v>1.3</v>
      </c>
      <c r="AI13" s="45" t="s">
        <v>538</v>
      </c>
      <c r="AJ13" s="45">
        <v>96</v>
      </c>
      <c r="AK13" s="45" t="s">
        <v>563</v>
      </c>
      <c r="AL13" s="45">
        <v>512</v>
      </c>
      <c r="AN13" s="45" t="s">
        <v>559</v>
      </c>
      <c r="AO13" s="45" t="s">
        <v>562</v>
      </c>
      <c r="AP13" s="57">
        <v>667</v>
      </c>
      <c r="AQ13" s="45">
        <v>512</v>
      </c>
      <c r="AR13" s="45"/>
      <c r="AS13" s="45">
        <v>2023</v>
      </c>
      <c r="AT13" s="60">
        <v>45200</v>
      </c>
      <c r="AU13" s="60">
        <v>44927</v>
      </c>
      <c r="AV13" t="s">
        <v>587</v>
      </c>
      <c r="AW13" s="8">
        <f>AP13/AP6</f>
        <v>0.3370389085396665</v>
      </c>
    </row>
    <row r="14" spans="1:49" ht="16.2">
      <c r="A14" t="s">
        <v>717</v>
      </c>
      <c r="B14" s="8">
        <f>B9/SUM(B8:B9)</f>
        <v>0.38356164383561642</v>
      </c>
      <c r="C14" s="8">
        <f>C9/SUM(C8:C9)</f>
        <v>0.41489361702127658</v>
      </c>
      <c r="AC14" s="45" t="s">
        <v>564</v>
      </c>
      <c r="AD14" s="45" t="s">
        <v>565</v>
      </c>
      <c r="AE14" s="45" t="s">
        <v>558</v>
      </c>
      <c r="AF14" s="45">
        <v>177</v>
      </c>
      <c r="AG14" s="45">
        <v>90</v>
      </c>
      <c r="AH14" s="45">
        <v>2</v>
      </c>
      <c r="AI14" s="45" t="s">
        <v>160</v>
      </c>
      <c r="AJ14" s="45" t="s">
        <v>160</v>
      </c>
      <c r="AK14" s="45" t="s">
        <v>566</v>
      </c>
      <c r="AL14" s="45">
        <v>64</v>
      </c>
      <c r="AN14" s="45" t="s">
        <v>564</v>
      </c>
      <c r="AO14" s="45" t="s">
        <v>565</v>
      </c>
      <c r="AP14" s="57">
        <v>177</v>
      </c>
      <c r="AQ14" s="45">
        <v>64</v>
      </c>
      <c r="AR14" s="45"/>
      <c r="AS14" s="45">
        <v>2024</v>
      </c>
      <c r="AT14" s="60">
        <v>45627</v>
      </c>
      <c r="AU14" s="60">
        <v>45292</v>
      </c>
      <c r="AV14" t="s">
        <v>587</v>
      </c>
      <c r="AW14" s="8"/>
    </row>
    <row r="15" spans="1:49" ht="16.2">
      <c r="A15" t="s">
        <v>715</v>
      </c>
      <c r="B15" s="8">
        <f>B11/B9</f>
        <v>0.6428571428571429</v>
      </c>
      <c r="C15" s="8">
        <f>C11/C9</f>
        <v>0.5641025641025641</v>
      </c>
      <c r="AC15" s="45" t="s">
        <v>564</v>
      </c>
      <c r="AD15" s="45" t="s">
        <v>567</v>
      </c>
      <c r="AE15" s="45" t="s">
        <v>546</v>
      </c>
      <c r="AF15" s="45">
        <v>51.2</v>
      </c>
      <c r="AG15" s="45">
        <v>25</v>
      </c>
      <c r="AH15" s="45">
        <v>2</v>
      </c>
      <c r="AI15" s="45" t="s">
        <v>568</v>
      </c>
      <c r="AJ15" s="45">
        <v>8</v>
      </c>
      <c r="AK15" s="45" t="s">
        <v>569</v>
      </c>
      <c r="AL15" s="45">
        <v>32</v>
      </c>
      <c r="AN15" s="45" t="s">
        <v>564</v>
      </c>
      <c r="AO15" s="45" t="s">
        <v>567</v>
      </c>
      <c r="AP15" s="57">
        <v>51.2</v>
      </c>
      <c r="AQ15" s="45">
        <v>32</v>
      </c>
      <c r="AR15" s="45"/>
      <c r="AS15" s="45">
        <v>2023</v>
      </c>
      <c r="AT15" s="60">
        <v>45047</v>
      </c>
      <c r="AU15" s="60">
        <v>44927</v>
      </c>
      <c r="AV15" t="s">
        <v>587</v>
      </c>
      <c r="AW15" s="8"/>
    </row>
    <row r="16" spans="1:49" ht="16.2">
      <c r="A16" t="s">
        <v>716</v>
      </c>
      <c r="B16" s="8">
        <f>SUM(B11:B12)/B9</f>
        <v>0.6428571428571429</v>
      </c>
      <c r="C16" s="8">
        <f>SUM(C11:C12)/C9</f>
        <v>0.61538461538461542</v>
      </c>
      <c r="AC16" s="45" t="s">
        <v>570</v>
      </c>
      <c r="AD16" s="45" t="s">
        <v>571</v>
      </c>
      <c r="AE16" s="45" t="s">
        <v>558</v>
      </c>
      <c r="AF16" s="45">
        <v>800</v>
      </c>
      <c r="AG16" s="45">
        <v>500</v>
      </c>
      <c r="AH16" s="45">
        <v>1.6</v>
      </c>
      <c r="AI16" s="45" t="s">
        <v>547</v>
      </c>
      <c r="AJ16" s="45">
        <v>64</v>
      </c>
      <c r="AK16" s="45" t="s">
        <v>566</v>
      </c>
      <c r="AL16" s="45">
        <v>64</v>
      </c>
      <c r="AN16" s="45" t="s">
        <v>570</v>
      </c>
      <c r="AO16" s="45" t="s">
        <v>571</v>
      </c>
      <c r="AP16" s="57">
        <v>800</v>
      </c>
      <c r="AQ16" s="45">
        <v>64</v>
      </c>
      <c r="AR16" s="45"/>
      <c r="AS16" s="45">
        <v>2023</v>
      </c>
      <c r="AT16" s="60">
        <v>44927</v>
      </c>
      <c r="AU16" s="60">
        <v>44927</v>
      </c>
      <c r="AV16" t="s">
        <v>587</v>
      </c>
      <c r="AW16" s="8"/>
    </row>
    <row r="17" spans="1:49" ht="16.2">
      <c r="A17" t="s">
        <v>736</v>
      </c>
      <c r="B17" s="8">
        <f>B10/SUM(B$8:B$9)</f>
        <v>0.1095890410958904</v>
      </c>
      <c r="C17" s="8">
        <f>C10/SUM(C$8:C$9)</f>
        <v>0.1276595744680851</v>
      </c>
      <c r="AN17" s="45" t="s">
        <v>570</v>
      </c>
      <c r="AO17" s="45" t="s">
        <v>577</v>
      </c>
      <c r="AP17" s="57"/>
      <c r="AQ17" s="45"/>
      <c r="AR17" s="45"/>
      <c r="AS17" s="45">
        <v>2026</v>
      </c>
      <c r="AT17" s="60">
        <v>46296</v>
      </c>
      <c r="AU17" s="60">
        <v>46023</v>
      </c>
      <c r="AV17" t="s">
        <v>587</v>
      </c>
      <c r="AW17" s="8"/>
    </row>
    <row r="18" spans="1:49" ht="16.2">
      <c r="A18" t="s">
        <v>737</v>
      </c>
      <c r="B18" s="8">
        <f t="shared" ref="B18:C18" si="1">B11/SUM(B$8:B$9)</f>
        <v>0.24657534246575341</v>
      </c>
      <c r="C18" s="8">
        <f t="shared" si="1"/>
        <v>0.23404255319148937</v>
      </c>
      <c r="AC18" s="35"/>
      <c r="AN18" s="45" t="s">
        <v>570</v>
      </c>
      <c r="AO18" s="45" t="s">
        <v>578</v>
      </c>
      <c r="AP18" s="57"/>
      <c r="AQ18" s="45"/>
      <c r="AR18" s="45"/>
      <c r="AS18" s="19"/>
      <c r="AT18" s="60"/>
      <c r="AU18" s="60"/>
      <c r="AV18" t="s">
        <v>587</v>
      </c>
      <c r="AW18" s="8"/>
    </row>
    <row r="19" spans="1:49" ht="16.2">
      <c r="A19" t="s">
        <v>738</v>
      </c>
      <c r="B19" s="8">
        <f t="shared" ref="B19:C19" si="2">B12/SUM(B$8:B$9)</f>
        <v>0</v>
      </c>
      <c r="C19" s="8">
        <f t="shared" si="2"/>
        <v>2.1276595744680851E-2</v>
      </c>
      <c r="AN19" s="56" t="s">
        <v>572</v>
      </c>
      <c r="AO19" s="19" t="s">
        <v>573</v>
      </c>
      <c r="AP19" s="58">
        <v>2615</v>
      </c>
      <c r="AQ19" s="19"/>
      <c r="AR19" s="19"/>
      <c r="AS19" s="45">
        <v>2024</v>
      </c>
      <c r="AT19" s="60">
        <v>45566</v>
      </c>
      <c r="AU19" s="60">
        <v>45292</v>
      </c>
      <c r="AV19" t="s">
        <v>588</v>
      </c>
      <c r="AW19" s="8"/>
    </row>
    <row r="20" spans="1:49" ht="16.2">
      <c r="A20" t="s">
        <v>739</v>
      </c>
      <c r="B20" s="8">
        <f t="shared" ref="B20:C20" si="3">B13/SUM(B$8:B$9)</f>
        <v>2.7397260273972601E-2</v>
      </c>
      <c r="C20" s="8">
        <f t="shared" si="3"/>
        <v>3.1914893617021274E-2</v>
      </c>
      <c r="AN20" s="56" t="s">
        <v>572</v>
      </c>
      <c r="AO20" s="19" t="s">
        <v>574</v>
      </c>
      <c r="AP20" s="58">
        <v>5000</v>
      </c>
      <c r="AQ20" s="19"/>
      <c r="AR20" s="19"/>
      <c r="AS20" s="45">
        <v>2025</v>
      </c>
      <c r="AT20" s="60">
        <v>45901</v>
      </c>
      <c r="AU20" s="60">
        <v>45658</v>
      </c>
      <c r="AV20" t="s">
        <v>588</v>
      </c>
      <c r="AW20" s="8"/>
    </row>
    <row r="21" spans="1:49" ht="16.2">
      <c r="AN21" s="56" t="s">
        <v>572</v>
      </c>
      <c r="AO21" s="19" t="s">
        <v>576</v>
      </c>
      <c r="AP21" s="58">
        <v>4600</v>
      </c>
      <c r="AQ21" s="19"/>
      <c r="AR21" s="19"/>
      <c r="AS21" s="45">
        <v>2025</v>
      </c>
      <c r="AT21" s="60">
        <v>45809</v>
      </c>
      <c r="AU21" s="60">
        <v>45658</v>
      </c>
      <c r="AV21" t="s">
        <v>588</v>
      </c>
      <c r="AW21" s="8"/>
    </row>
    <row r="22" spans="1:49" ht="16.8">
      <c r="A22" s="81"/>
      <c r="B22" s="81">
        <v>2024</v>
      </c>
      <c r="C22" s="81" t="s">
        <v>91</v>
      </c>
      <c r="D22" s="81">
        <v>2026</v>
      </c>
      <c r="AC22" s="38"/>
      <c r="AN22" s="56" t="s">
        <v>579</v>
      </c>
      <c r="AO22" s="19" t="s">
        <v>580</v>
      </c>
      <c r="AP22" s="58">
        <v>1835</v>
      </c>
      <c r="AS22" s="45">
        <v>2024</v>
      </c>
      <c r="AT22" s="60">
        <v>45383</v>
      </c>
      <c r="AU22" s="60">
        <v>45292</v>
      </c>
      <c r="AV22" t="s">
        <v>588</v>
      </c>
      <c r="AW22" s="8"/>
    </row>
    <row r="23" spans="1:49" ht="16.2">
      <c r="A23" s="81" t="s">
        <v>741</v>
      </c>
      <c r="B23" s="82">
        <f>SUM(B11,B12)/SUM(B8:B9)</f>
        <v>0.24657534246575341</v>
      </c>
      <c r="C23" s="82">
        <f>SUM(C11,C12)/SUM(C8:C9)</f>
        <v>0.25531914893617019</v>
      </c>
      <c r="D23" s="81">
        <v>0</v>
      </c>
      <c r="AN23" s="56" t="s">
        <v>579</v>
      </c>
      <c r="AO23" s="19" t="s">
        <v>581</v>
      </c>
      <c r="AP23" s="58">
        <v>432</v>
      </c>
      <c r="AS23" s="45">
        <v>2022</v>
      </c>
      <c r="AT23" s="60">
        <v>44652</v>
      </c>
      <c r="AU23" s="60">
        <v>44562</v>
      </c>
      <c r="AV23" t="s">
        <v>588</v>
      </c>
      <c r="AW23" s="8"/>
    </row>
    <row r="24" spans="1:49" ht="16.2">
      <c r="A24" s="81" t="s">
        <v>742</v>
      </c>
      <c r="B24" s="82">
        <f>(B9-SUM(B11:B12))/SUM(B8:B9)</f>
        <v>0.13698630136986301</v>
      </c>
      <c r="C24" s="82">
        <f>(C9-SUM(C11:C12))/SUM(C8:C9)</f>
        <v>0.15957446808510639</v>
      </c>
      <c r="D24" s="82">
        <v>0.4</v>
      </c>
      <c r="AN24" s="56" t="s">
        <v>590</v>
      </c>
      <c r="AO24" s="19" t="s">
        <v>591</v>
      </c>
      <c r="AP24" s="58">
        <v>800</v>
      </c>
      <c r="AT24" s="60">
        <v>45658</v>
      </c>
      <c r="AU24" s="59">
        <v>45658</v>
      </c>
      <c r="AV24" t="s">
        <v>589</v>
      </c>
      <c r="AW24" s="8"/>
    </row>
    <row r="25" spans="1:49" ht="16.2">
      <c r="AN25" s="56" t="s">
        <v>590</v>
      </c>
      <c r="AO25" s="19" t="s">
        <v>592</v>
      </c>
      <c r="AP25" s="58">
        <v>320</v>
      </c>
      <c r="AT25" s="60">
        <v>44927</v>
      </c>
      <c r="AU25" s="59">
        <v>44927</v>
      </c>
      <c r="AV25" t="s">
        <v>589</v>
      </c>
      <c r="AW25" s="8"/>
    </row>
  </sheetData>
  <phoneticPr fontId="4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5017-2C96-4D10-ADD5-5C672F2B6EFD}">
  <dimension ref="A1:P39"/>
  <sheetViews>
    <sheetView zoomScale="70" zoomScaleNormal="70" workbookViewId="0">
      <selection activeCell="P38" sqref="P38"/>
    </sheetView>
  </sheetViews>
  <sheetFormatPr defaultRowHeight="14.1"/>
  <cols>
    <col min="5" max="5" width="24.19921875" customWidth="1"/>
    <col min="6" max="7" width="9.69921875" bestFit="1" customWidth="1"/>
    <col min="8" max="8" width="17.94921875" customWidth="1"/>
  </cols>
  <sheetData>
    <row r="1" spans="1:16">
      <c r="A1" t="s">
        <v>258</v>
      </c>
      <c r="B1">
        <v>2023</v>
      </c>
      <c r="E1" s="25" t="s">
        <v>259</v>
      </c>
      <c r="K1" t="s">
        <v>263</v>
      </c>
      <c r="O1" t="s">
        <v>265</v>
      </c>
    </row>
    <row r="2" spans="1:16">
      <c r="A2" t="s">
        <v>256</v>
      </c>
      <c r="B2" s="30">
        <v>0.78290000000000004</v>
      </c>
      <c r="F2" t="s">
        <v>260</v>
      </c>
      <c r="G2" t="s">
        <v>261</v>
      </c>
      <c r="H2" t="s">
        <v>262</v>
      </c>
      <c r="K2" t="s">
        <v>264</v>
      </c>
      <c r="L2" s="8">
        <v>0.42</v>
      </c>
      <c r="O2" s="31" t="s">
        <v>266</v>
      </c>
      <c r="P2" s="8">
        <v>0.38</v>
      </c>
    </row>
    <row r="3" spans="1:16" ht="20.100000000000001">
      <c r="A3" s="29" t="s">
        <v>257</v>
      </c>
      <c r="B3" s="24">
        <f>1-B2</f>
        <v>0.21709999999999996</v>
      </c>
      <c r="E3">
        <v>2021</v>
      </c>
      <c r="F3">
        <v>2.79</v>
      </c>
      <c r="G3" s="8">
        <v>0.34399999999999997</v>
      </c>
      <c r="H3">
        <v>-0.57999999999999996</v>
      </c>
      <c r="K3" t="s">
        <v>76</v>
      </c>
      <c r="L3" s="8">
        <f>1-L2</f>
        <v>0.58000000000000007</v>
      </c>
      <c r="O3" t="s">
        <v>76</v>
      </c>
      <c r="P3" s="8">
        <f>1-P2</f>
        <v>0.62</v>
      </c>
    </row>
    <row r="4" spans="1:16">
      <c r="E4">
        <v>2022</v>
      </c>
      <c r="F4">
        <v>2.87</v>
      </c>
      <c r="G4" s="8">
        <v>0.41599999999999998</v>
      </c>
      <c r="H4">
        <v>-0.22</v>
      </c>
    </row>
    <row r="5" spans="1:16">
      <c r="E5">
        <v>2023</v>
      </c>
      <c r="F5">
        <v>2.57</v>
      </c>
      <c r="G5" s="8">
        <v>0.40200000000000002</v>
      </c>
      <c r="H5">
        <v>-0.14000000000000001</v>
      </c>
    </row>
    <row r="7" spans="1:16">
      <c r="E7" t="s">
        <v>743</v>
      </c>
      <c r="F7">
        <v>2022</v>
      </c>
      <c r="G7">
        <v>2023</v>
      </c>
      <c r="H7">
        <v>2024</v>
      </c>
    </row>
    <row r="8" spans="1:16">
      <c r="E8" t="s">
        <v>696</v>
      </c>
      <c r="F8" s="83">
        <v>2.87</v>
      </c>
      <c r="G8" s="83">
        <v>3.8243999999999998</v>
      </c>
      <c r="H8" s="83">
        <v>5.05</v>
      </c>
    </row>
    <row r="9" spans="1:16">
      <c r="E9" t="s">
        <v>713</v>
      </c>
      <c r="F9" s="80">
        <v>0.4163</v>
      </c>
      <c r="G9" s="80">
        <v>0.41620000000000001</v>
      </c>
      <c r="H9" s="80">
        <f>1-H30/H8</f>
        <v>0.401980198019802</v>
      </c>
    </row>
    <row r="10" spans="1:16">
      <c r="E10" t="s">
        <v>740</v>
      </c>
      <c r="F10" s="83">
        <v>-6.3E-3</v>
      </c>
      <c r="G10" s="83">
        <v>0.28999999999999998</v>
      </c>
      <c r="H10" s="83">
        <v>0.37</v>
      </c>
    </row>
    <row r="30" spans="5:8">
      <c r="G30" t="s">
        <v>744</v>
      </c>
      <c r="H30">
        <f>3.02</f>
        <v>3.02</v>
      </c>
    </row>
    <row r="31" spans="5:8">
      <c r="E31" s="23" t="s">
        <v>749</v>
      </c>
      <c r="F31" t="s">
        <v>750</v>
      </c>
    </row>
    <row r="32" spans="5:8">
      <c r="E32" s="23" t="s">
        <v>745</v>
      </c>
      <c r="F32" t="s">
        <v>746</v>
      </c>
    </row>
    <row r="33" spans="5:8">
      <c r="E33" s="23" t="s">
        <v>747</v>
      </c>
      <c r="F33" t="s">
        <v>748</v>
      </c>
    </row>
    <row r="39" spans="5:8">
      <c r="H39" s="84"/>
    </row>
  </sheetData>
  <phoneticPr fontId="4" type="noConversion"/>
  <hyperlinks>
    <hyperlink ref="E32" r:id="rId1" display="https://pdf.dfcfw.com/pdf/H2_AN202504171658046626_1.pdf" xr:uid="{A138D08D-07E2-4F4F-BA7D-FAE540E32EF7}"/>
    <hyperlink ref="E33" r:id="rId2" display="https://pdf.dfcfw.com/pdf/H2_AN202504171658046622_1.pdf?1744929178000.pdf" xr:uid="{593630E0-F58F-47E9-AA33-B48A5678062E}"/>
    <hyperlink ref="E31" r:id="rId3" display="https://static.cninfo.com.cn/finalpage/2024-11-09/1221663098.PDF" xr:uid="{4655FEA6-3422-4B7B-B4F8-C715D0428893}"/>
  </hyperlinks>
  <pageMargins left="0.7" right="0.7" top="0.75" bottom="0.75" header="0.3" footer="0.3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7386-AB61-4170-98DE-0C20AFF55C4F}">
  <dimension ref="A1:D16"/>
  <sheetViews>
    <sheetView zoomScaleNormal="100" workbookViewId="0">
      <selection activeCell="C20" sqref="C20"/>
    </sheetView>
  </sheetViews>
  <sheetFormatPr defaultRowHeight="15.3"/>
  <cols>
    <col min="1" max="1" width="8.796875" style="26"/>
    <col min="2" max="2" width="17.546875" style="26" customWidth="1"/>
    <col min="3" max="16384" width="8.796875" style="26"/>
  </cols>
  <sheetData>
    <row r="1" spans="1:4">
      <c r="A1" s="26" t="s">
        <v>230</v>
      </c>
      <c r="B1" s="27" t="s">
        <v>231</v>
      </c>
      <c r="D1" s="26" t="s">
        <v>247</v>
      </c>
    </row>
    <row r="2" spans="1:4">
      <c r="A2" s="26" t="s">
        <v>249</v>
      </c>
      <c r="B2" s="26" t="s">
        <v>250</v>
      </c>
      <c r="D2" s="26" t="s">
        <v>248</v>
      </c>
    </row>
    <row r="3" spans="1:4">
      <c r="A3" s="28" t="s">
        <v>232</v>
      </c>
      <c r="B3" s="28"/>
      <c r="D3" s="26" t="s">
        <v>246</v>
      </c>
    </row>
    <row r="4" spans="1:4">
      <c r="A4" s="28" t="s">
        <v>46</v>
      </c>
      <c r="B4" s="28" t="s">
        <v>233</v>
      </c>
    </row>
    <row r="5" spans="1:4">
      <c r="A5" s="28">
        <v>2010</v>
      </c>
      <c r="B5" s="28" t="s">
        <v>234</v>
      </c>
    </row>
    <row r="6" spans="1:4">
      <c r="A6" s="28">
        <v>2015</v>
      </c>
      <c r="B6" s="28" t="s">
        <v>235</v>
      </c>
    </row>
    <row r="7" spans="1:4">
      <c r="A7" s="28">
        <v>2016</v>
      </c>
      <c r="B7" s="28" t="s">
        <v>236</v>
      </c>
    </row>
    <row r="8" spans="1:4">
      <c r="A8" s="28">
        <v>2017</v>
      </c>
      <c r="B8" s="28" t="s">
        <v>237</v>
      </c>
    </row>
    <row r="9" spans="1:4">
      <c r="A9" s="28">
        <v>2018</v>
      </c>
      <c r="B9" s="28" t="s">
        <v>238</v>
      </c>
    </row>
    <row r="10" spans="1:4">
      <c r="A10" s="28">
        <v>2019</v>
      </c>
      <c r="B10" s="28" t="s">
        <v>239</v>
      </c>
    </row>
    <row r="11" spans="1:4">
      <c r="A11" s="28">
        <v>2020</v>
      </c>
      <c r="B11" s="28" t="s">
        <v>240</v>
      </c>
    </row>
    <row r="12" spans="1:4">
      <c r="A12" s="28">
        <v>2021</v>
      </c>
      <c r="B12" s="28" t="s">
        <v>242</v>
      </c>
    </row>
    <row r="13" spans="1:4">
      <c r="A13" s="28">
        <v>2022</v>
      </c>
      <c r="B13" s="28" t="s">
        <v>241</v>
      </c>
    </row>
    <row r="14" spans="1:4">
      <c r="A14" s="28">
        <v>2023</v>
      </c>
      <c r="B14" s="28" t="s">
        <v>243</v>
      </c>
    </row>
    <row r="15" spans="1:4">
      <c r="A15" s="28">
        <v>2024</v>
      </c>
      <c r="B15" s="28" t="s">
        <v>244</v>
      </c>
    </row>
    <row r="16" spans="1:4">
      <c r="A16" s="28">
        <v>2025</v>
      </c>
      <c r="B16" s="28" t="s">
        <v>245</v>
      </c>
    </row>
  </sheetData>
  <phoneticPr fontId="4" type="noConversion"/>
  <hyperlinks>
    <hyperlink ref="B1" r:id="rId1" display="https://ayarlabs.com/about/" xr:uid="{A43EF17E-4ACB-4077-B16C-C0BE37F07135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601-28BB-4A0B-B8E3-A4627FAA0AB1}">
  <dimension ref="A1:E3"/>
  <sheetViews>
    <sheetView workbookViewId="0">
      <selection activeCell="T42" sqref="T42"/>
    </sheetView>
  </sheetViews>
  <sheetFormatPr defaultRowHeight="14.1"/>
  <sheetData>
    <row r="1" spans="1:5">
      <c r="B1">
        <v>2025</v>
      </c>
      <c r="C1">
        <v>2026</v>
      </c>
    </row>
    <row r="2" spans="1:5">
      <c r="A2" t="s">
        <v>599</v>
      </c>
      <c r="B2">
        <v>318</v>
      </c>
      <c r="C2">
        <v>452</v>
      </c>
      <c r="D2">
        <f>C2-B2</f>
        <v>134</v>
      </c>
    </row>
    <row r="3" spans="1:5">
      <c r="A3" t="s">
        <v>600</v>
      </c>
      <c r="B3">
        <v>184</v>
      </c>
      <c r="C3">
        <v>211</v>
      </c>
      <c r="D3">
        <f>C3-B3</f>
        <v>27</v>
      </c>
      <c r="E3">
        <f>D2/SUM(D2:D3)</f>
        <v>0.83229813664596275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5808-03E9-4AB3-8FFD-0E865259DBB7}">
  <dimension ref="A1:AB29"/>
  <sheetViews>
    <sheetView topLeftCell="A13" zoomScale="85" zoomScaleNormal="85" workbookViewId="0">
      <selection activeCell="Z31" sqref="Z31"/>
    </sheetView>
  </sheetViews>
  <sheetFormatPr defaultRowHeight="14.1"/>
  <cols>
    <col min="1" max="1" width="16.94921875" customWidth="1"/>
    <col min="22" max="22" width="26.8984375" bestFit="1" customWidth="1"/>
  </cols>
  <sheetData>
    <row r="1" spans="1:28">
      <c r="A1" s="51" t="s">
        <v>697</v>
      </c>
      <c r="V1" s="51" t="s">
        <v>703</v>
      </c>
      <c r="W1" t="s">
        <v>702</v>
      </c>
    </row>
    <row r="2" spans="1:28">
      <c r="V2" t="s">
        <v>704</v>
      </c>
      <c r="AB2" t="s">
        <v>705</v>
      </c>
    </row>
    <row r="21" spans="1:23">
      <c r="V21" t="s">
        <v>712</v>
      </c>
      <c r="W21" s="51" t="s">
        <v>707</v>
      </c>
    </row>
    <row r="27" spans="1:23">
      <c r="A27" s="51" t="s">
        <v>698</v>
      </c>
      <c r="B27" t="s">
        <v>699</v>
      </c>
    </row>
    <row r="28" spans="1:23">
      <c r="A28" t="s">
        <v>700</v>
      </c>
    </row>
    <row r="29" spans="1:23">
      <c r="A29" t="s">
        <v>701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P5 铜到光</vt:lpstr>
      <vt:lpstr>可插拔=&gt;CPO的功耗节约</vt:lpstr>
      <vt:lpstr>P6-7 铜到光 算力与传输速率</vt:lpstr>
      <vt:lpstr>P8 可插拔到CPO的功耗</vt:lpstr>
      <vt:lpstr>CPO渗透率</vt:lpstr>
      <vt:lpstr>P9 技术路径对比 FPP、CPO、OIO</vt:lpstr>
      <vt:lpstr>互连技术变迁</vt:lpstr>
      <vt:lpstr>CPO信号传输关键环节</vt:lpstr>
      <vt:lpstr>P14 CPO在国内优先落地于Scale Up</vt:lpstr>
      <vt:lpstr>P15 CPO市场规模估算</vt:lpstr>
      <vt:lpstr>P15 光模块出货量模型</vt:lpstr>
      <vt:lpstr>不同规格光模块的销售额与出货量</vt:lpstr>
      <vt:lpstr>制程限制与市场份额</vt:lpstr>
      <vt:lpstr>各厂商时间线</vt:lpstr>
      <vt:lpstr>博通vs英伟达</vt:lpstr>
      <vt:lpstr>NPO</vt:lpstr>
      <vt:lpstr>P21 ASIC份额</vt:lpstr>
      <vt:lpstr>Ficontec</vt:lpstr>
      <vt:lpstr>AyarLabs</vt:lpstr>
      <vt:lpstr>ASIC带动光模块增长</vt:lpstr>
      <vt:lpstr>NPO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Kunyu</dc:creator>
  <cp:lastModifiedBy>Deng Kunyu</cp:lastModifiedBy>
  <dcterms:created xsi:type="dcterms:W3CDTF">2025-08-14T07:19:57Z</dcterms:created>
  <dcterms:modified xsi:type="dcterms:W3CDTF">2025-11-26T13:54:43Z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172EAD66-921B-4D24-ABD7-4F56C1E11CF1</vt:lpwstr>
  </property>
</Properties>
</file>