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PO-202508\"/>
    </mc:Choice>
  </mc:AlternateContent>
  <xr:revisionPtr revIDLastSave="0" documentId="13_ncr:1_{06AE4E96-EFBA-4C12-81D3-3B35CE83ACA6}" xr6:coauthVersionLast="47" xr6:coauthVersionMax="47" xr10:uidLastSave="{00000000-0000-0000-0000-000000000000}"/>
  <bookViews>
    <workbookView xWindow="-96" yWindow="-96" windowWidth="18192" windowHeight="11472" xr2:uid="{E14F09D1-2713-4BC1-8F72-24AD34FBB838}"/>
  </bookViews>
  <sheets>
    <sheet name="Transceiver pipeline" sheetId="6" r:id="rId1"/>
    <sheet name="Card to Transceiver" sheetId="5" r:id="rId2"/>
    <sheet name="GPU pipeline" sheetId="3" r:id="rId3"/>
    <sheet name="ASIC pipelin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6" l="1"/>
  <c r="D30" i="6"/>
  <c r="E30" i="6" s="1"/>
  <c r="D31" i="6"/>
  <c r="E29" i="6"/>
  <c r="D29" i="6"/>
  <c r="C29" i="6"/>
  <c r="D25" i="6"/>
  <c r="E25" i="6"/>
  <c r="D26" i="6"/>
  <c r="E26" i="6"/>
  <c r="D24" i="6"/>
  <c r="K26" i="6"/>
  <c r="L26" i="6"/>
  <c r="J26" i="6"/>
  <c r="W6" i="6"/>
  <c r="W4" i="6"/>
  <c r="W5" i="6" s="1"/>
  <c r="W7" i="6" s="1"/>
  <c r="W9" i="6" s="1"/>
  <c r="F19" i="5"/>
  <c r="F18" i="5"/>
  <c r="F17" i="5"/>
  <c r="E19" i="5"/>
  <c r="E18" i="5"/>
  <c r="E17" i="5"/>
  <c r="D19" i="5"/>
  <c r="D18" i="5"/>
  <c r="D17" i="5"/>
  <c r="C19" i="5"/>
  <c r="C18" i="5"/>
  <c r="C17" i="5"/>
  <c r="G13" i="5"/>
  <c r="G14" i="5"/>
  <c r="G12" i="5"/>
  <c r="G8" i="5"/>
  <c r="N9" i="4"/>
  <c r="E5" i="4"/>
  <c r="D5" i="4"/>
  <c r="C5" i="4" l="1"/>
  <c r="D56" i="6"/>
  <c r="E56" i="6"/>
  <c r="J18" i="6"/>
  <c r="K18" i="6"/>
  <c r="L18" i="6"/>
  <c r="J19" i="6"/>
  <c r="K19" i="6"/>
  <c r="L19" i="6"/>
  <c r="J20" i="6"/>
  <c r="K20" i="6"/>
  <c r="L20" i="6"/>
  <c r="J21" i="6"/>
  <c r="K21" i="6"/>
  <c r="L21" i="6"/>
  <c r="J22" i="6"/>
  <c r="K22" i="6"/>
  <c r="L22" i="6"/>
  <c r="J23" i="6"/>
  <c r="C56" i="6" s="1"/>
  <c r="K23" i="6"/>
  <c r="L23" i="6"/>
  <c r="K17" i="6"/>
  <c r="L17" i="6"/>
  <c r="J17" i="6"/>
  <c r="C8" i="3"/>
  <c r="C9" i="3" s="1"/>
  <c r="C5" i="3"/>
  <c r="D9" i="3"/>
  <c r="E9" i="3"/>
  <c r="J9" i="4"/>
  <c r="K9" i="4"/>
  <c r="L9" i="4"/>
  <c r="M9" i="4"/>
  <c r="O9" i="4"/>
  <c r="I9" i="4"/>
  <c r="E24" i="6"/>
  <c r="I11" i="6"/>
  <c r="J11" i="6"/>
  <c r="K11" i="6"/>
  <c r="L11" i="6"/>
  <c r="I12" i="6"/>
  <c r="J12" i="6"/>
  <c r="K12" i="6"/>
  <c r="L12" i="6"/>
  <c r="J10" i="6"/>
  <c r="K10" i="6"/>
  <c r="L10" i="6"/>
  <c r="I10" i="6"/>
  <c r="G7" i="5"/>
  <c r="I4" i="6"/>
  <c r="J4" i="6"/>
  <c r="K4" i="6"/>
  <c r="L4" i="6"/>
  <c r="I5" i="6"/>
  <c r="J5" i="6"/>
  <c r="K5" i="6"/>
  <c r="L5" i="6"/>
  <c r="I6" i="6"/>
  <c r="J6" i="6"/>
  <c r="K6" i="6"/>
  <c r="L6" i="6"/>
  <c r="I7" i="6"/>
  <c r="J7" i="6"/>
  <c r="K7" i="6"/>
  <c r="L7" i="6"/>
  <c r="I8" i="6"/>
  <c r="J8" i="6"/>
  <c r="K8" i="6"/>
  <c r="L8" i="6"/>
  <c r="J3" i="6"/>
  <c r="K3" i="6"/>
  <c r="L3" i="6"/>
  <c r="I3" i="6"/>
  <c r="G4" i="5"/>
  <c r="G5" i="5"/>
  <c r="G6" i="5"/>
  <c r="G3" i="5"/>
  <c r="E59" i="6" l="1"/>
  <c r="E9" i="6"/>
  <c r="E10" i="6"/>
  <c r="E8" i="6"/>
  <c r="D8" i="6"/>
  <c r="D9" i="6"/>
  <c r="D10" i="6"/>
  <c r="D59" i="6"/>
  <c r="C9" i="6"/>
  <c r="C8" i="6"/>
  <c r="C10" i="6"/>
  <c r="C59" i="6"/>
  <c r="C30" i="6"/>
  <c r="D5" i="6"/>
  <c r="C6" i="6"/>
  <c r="D4" i="6"/>
  <c r="C4" i="6"/>
  <c r="C5" i="6"/>
  <c r="D6" i="6"/>
  <c r="E6" i="6"/>
  <c r="E4" i="6"/>
  <c r="E5" i="6"/>
  <c r="C50" i="6" l="1"/>
  <c r="C55" i="6"/>
  <c r="C57" i="6" s="1"/>
  <c r="D50" i="6"/>
  <c r="D55" i="6"/>
  <c r="D57" i="6" s="1"/>
  <c r="E50" i="6"/>
  <c r="E55" i="6"/>
  <c r="E57" i="6" s="1"/>
  <c r="C13" i="6"/>
  <c r="C38" i="6" s="1"/>
  <c r="E58" i="6"/>
  <c r="E60" i="6" s="1"/>
  <c r="E51" i="6"/>
  <c r="E48" i="6"/>
  <c r="D51" i="6"/>
  <c r="D48" i="6"/>
  <c r="D58" i="6"/>
  <c r="D60" i="6" s="1"/>
  <c r="C48" i="6"/>
  <c r="C51" i="6"/>
  <c r="C58" i="6"/>
  <c r="C60" i="6" s="1"/>
  <c r="C31" i="6"/>
  <c r="E14" i="6"/>
  <c r="E47" i="6"/>
  <c r="E13" i="6"/>
  <c r="C47" i="6"/>
  <c r="D47" i="6"/>
  <c r="D13" i="6"/>
  <c r="C14" i="6"/>
  <c r="C39" i="6" s="1"/>
  <c r="D14" i="6"/>
  <c r="E15" i="6"/>
  <c r="D15" i="6"/>
  <c r="C15" i="6"/>
  <c r="D38" i="6" l="1"/>
  <c r="D54" i="6"/>
  <c r="E35" i="6"/>
  <c r="E54" i="6"/>
  <c r="C54" i="6"/>
  <c r="E38" i="6"/>
  <c r="D39" i="6"/>
  <c r="E39" i="6"/>
  <c r="C40" i="6"/>
  <c r="C41" i="6" s="1"/>
  <c r="D35" i="6"/>
  <c r="C35" i="6"/>
  <c r="C17" i="4"/>
  <c r="D17" i="4"/>
  <c r="E61" i="6" l="1"/>
  <c r="E36" i="6"/>
  <c r="D36" i="6"/>
  <c r="D61" i="6"/>
  <c r="C62" i="6"/>
  <c r="C43" i="6"/>
  <c r="C36" i="6"/>
  <c r="C61" i="6"/>
  <c r="C63" i="6" s="1"/>
  <c r="D40" i="6"/>
  <c r="D41" i="6" s="1"/>
  <c r="E40" i="6"/>
  <c r="E41" i="6" s="1"/>
  <c r="Q16" i="5"/>
  <c r="Q18" i="5" s="1"/>
  <c r="Q20" i="5" s="1"/>
  <c r="D43" i="6" l="1"/>
  <c r="D62" i="6"/>
  <c r="D63" i="6" s="1"/>
  <c r="D64" i="6" s="1"/>
  <c r="E43" i="6"/>
  <c r="E62" i="6"/>
  <c r="E63" i="6" s="1"/>
  <c r="D42" i="6"/>
  <c r="E42" i="6"/>
  <c r="Q11" i="5"/>
  <c r="Q12" i="5" s="1"/>
  <c r="Q9" i="5" s="1"/>
  <c r="Q10" i="5" s="1"/>
  <c r="Q23" i="5"/>
  <c r="E64" i="6" l="1"/>
  <c r="Q13" i="5"/>
  <c r="Q21" i="5" s="1"/>
  <c r="Q24" i="5" s="1"/>
  <c r="D5" i="3"/>
  <c r="E5" i="3"/>
  <c r="C6" i="3"/>
  <c r="D6" i="3"/>
  <c r="E6" i="3"/>
  <c r="C7" i="3"/>
  <c r="D7" i="3"/>
  <c r="E7" i="3"/>
  <c r="D8" i="3"/>
  <c r="E8" i="3"/>
</calcChain>
</file>

<file path=xl/sharedStrings.xml><?xml version="1.0" encoding="utf-8"?>
<sst xmlns="http://schemas.openxmlformats.org/spreadsheetml/2006/main" count="679" uniqueCount="388">
  <si>
    <t>800G</t>
    <phoneticPr fontId="2" type="noConversion"/>
  </si>
  <si>
    <t>1.6T</t>
    <phoneticPr fontId="2" type="noConversion"/>
  </si>
  <si>
    <t>Meta</t>
  </si>
  <si>
    <t>AWS</t>
  </si>
  <si>
    <t>英伟达</t>
  </si>
  <si>
    <t>公司</t>
  </si>
  <si>
    <t>配比关系</t>
  </si>
  <si>
    <t>关键说明</t>
  </si>
  <si>
    <t>1:3-1:4.5</t>
  </si>
  <si>
    <t>1、针对三层架构应用侧 / 推理侧 </t>
  </si>
  <si>
    <t>2、对应 800G 光模块，与 NVLink 相关 </t>
  </si>
  <si>
    <t>3、NVL72 机柜与普通八卡服务器三层架构配比区别不大</t>
  </si>
  <si>
    <t>谷歌</t>
  </si>
  <si>
    <t>约 1:14</t>
  </si>
  <si>
    <t>2026 年需求较可观</t>
  </si>
  <si>
    <t>当前 1:4；自研 ASIC 后预计 1:8</t>
  </si>
  <si>
    <t>1、自研 ASIC 后架构或从三层变四层，配比略增 </t>
  </si>
  <si>
    <t>2、非全 800G，含 400G、200G、100G 光模块</t>
  </si>
  <si>
    <t>实际 1:12-1:14（网传 1:16 为多规格总和）</t>
  </si>
  <si>
    <t>1、1:12 配比中，约 8 个 800G、2 个 400G、2 个 100G </t>
  </si>
  <si>
    <t>2、自研 ASIC 后架构层数增加，光模块用量上升</t>
  </si>
  <si>
    <t>FY2026e</t>
  </si>
  <si>
    <t>FY2027e</t>
  </si>
  <si>
    <t>FY2028e</t>
  </si>
  <si>
    <t>–</t>
  </si>
  <si>
    <t>CoWoS-S</t>
  </si>
  <si>
    <t>CoWoS-L Blackwell Die</t>
  </si>
  <si>
    <t>CoWoS-L Rubin Die</t>
  </si>
  <si>
    <t>H200</t>
  </si>
  <si>
    <t>H20</t>
  </si>
  <si>
    <t>B200</t>
  </si>
  <si>
    <t>B300 (Blackwell Ultra)</t>
  </si>
  <si>
    <t>Rubin</t>
  </si>
  <si>
    <t>Rubin Ultra</t>
  </si>
  <si>
    <t>B200 (GB200)</t>
  </si>
  <si>
    <t>B300 (GB300)</t>
  </si>
  <si>
    <t>Rubin (Vera Rubin NVL)</t>
  </si>
  <si>
    <t>Rubin Ultra (Rubin Ultra NVL)</t>
  </si>
  <si>
    <t>Hopper</t>
  </si>
  <si>
    <t>Blackwell</t>
  </si>
  <si>
    <t>RTX 6000D</t>
  </si>
  <si>
    <t>RTX Pro 6000</t>
  </si>
  <si>
    <t>H200</t>
    <phoneticPr fontId="2" type="noConversion"/>
  </si>
  <si>
    <t>B300</t>
    <phoneticPr fontId="2" type="noConversion"/>
  </si>
  <si>
    <t>Source: Goldman (2025.07)</t>
    <phoneticPr fontId="2" type="noConversion"/>
  </si>
  <si>
    <t>H20</t>
    <phoneticPr fontId="2" type="noConversion"/>
  </si>
  <si>
    <t>26E</t>
    <phoneticPr fontId="2" type="noConversion"/>
  </si>
  <si>
    <t>27E</t>
    <phoneticPr fontId="2" type="noConversion"/>
  </si>
  <si>
    <t>28E</t>
    <phoneticPr fontId="2" type="noConversion"/>
  </si>
  <si>
    <t>B200</t>
    <phoneticPr fontId="2" type="noConversion"/>
  </si>
  <si>
    <t>Rubin</t>
    <phoneticPr fontId="2" type="noConversion"/>
  </si>
  <si>
    <t>Rubin Ultra</t>
    <phoneticPr fontId="2" type="noConversion"/>
  </si>
  <si>
    <t>(k units)</t>
    <phoneticPr fontId="2" type="noConversion"/>
  </si>
  <si>
    <t>-</t>
  </si>
  <si>
    <t>Source: HSBC (2025.08)</t>
    <phoneticPr fontId="2" type="noConversion"/>
  </si>
  <si>
    <t>Notes</t>
    <phoneticPr fontId="2" type="noConversion"/>
  </si>
  <si>
    <t># transceivers/GPU</t>
    <phoneticPr fontId="2" type="noConversion"/>
  </si>
  <si>
    <t xml:space="preserve">400G </t>
    <phoneticPr fontId="2" type="noConversion"/>
  </si>
  <si>
    <t>3.2T</t>
    <phoneticPr fontId="2" type="noConversion"/>
  </si>
  <si>
    <t>Source: 调研纪要公众号（Founder Park转载）</t>
    <phoneticPr fontId="2" type="noConversion"/>
  </si>
  <si>
    <t>https://mp.weixin.qq.com/s/fLrJ6WHs1FMN587dXfuk9Q</t>
  </si>
  <si>
    <t>https://mp.weixin.qq.com/s/8TJyPkgyP0Z2LaZCBT5VTw</t>
  </si>
  <si>
    <t>Source: More Than Semi 公众号</t>
    <phoneticPr fontId="2" type="noConversion"/>
  </si>
  <si>
    <t>https://mp.weixin.qq.com/s/IBvWDer71WeZ7M0Krcmm9A</t>
  </si>
  <si>
    <t>Source: 江南捞鱼人 公众号</t>
    <phoneticPr fontId="2" type="noConversion"/>
  </si>
  <si>
    <t>Nvidia (k units)</t>
    <phoneticPr fontId="2" type="noConversion"/>
  </si>
  <si>
    <t>GB200 NVL 72</t>
  </si>
  <si>
    <t>GB300 NVL 72 (Blackwell Ultra)</t>
  </si>
  <si>
    <t>Vera Rubin NVL 144</t>
  </si>
  <si>
    <t>Rubin Ultra NVL 576</t>
  </si>
  <si>
    <t>Blackwell GPUs available for GB200</t>
  </si>
  <si>
    <t>Blackwell GPUs available for GB300 (Blackwell Ultra)</t>
  </si>
  <si>
    <t>Rubin Ultra GPUs available for Rubin Ultra NVL 576</t>
  </si>
  <si>
    <t>GB200/GB300 NVL 72</t>
  </si>
  <si>
    <t>GB200 NVL 72 revenue</t>
  </si>
  <si>
    <t>GB300 NVL 72 revenue</t>
  </si>
  <si>
    <t>Vera Rubin NVL 144 revenue</t>
  </si>
  <si>
    <t>Rubin Ultra NVL 576 revenue</t>
  </si>
  <si>
    <t>GPU Units</t>
    <phoneticPr fontId="2" type="noConversion"/>
  </si>
  <si>
    <t>Server Rack Units</t>
    <phoneticPr fontId="2" type="noConversion"/>
  </si>
  <si>
    <t>CoWoS-L</t>
  </si>
  <si>
    <t>CoWoS-S wafers</t>
  </si>
  <si>
    <t>CoWoS-L wafers</t>
  </si>
  <si>
    <t>HGX variants/NVL 16</t>
  </si>
  <si>
    <t>For NVL racks</t>
  </si>
  <si>
    <t>B200 for GB200</t>
  </si>
  <si>
    <t>B300 for GB300 (Blackwell Ultra)</t>
  </si>
  <si>
    <t>Rubin for Vera Rubin NVL 144</t>
  </si>
  <si>
    <t>Rubin Ultra for Rubin Ultra NVL 576</t>
  </si>
  <si>
    <t>L series (not based on CoWoS)</t>
  </si>
  <si>
    <t>L series</t>
  </si>
  <si>
    <t>RTX</t>
  </si>
  <si>
    <t>HSBC原始表</t>
    <phoneticPr fontId="2" type="noConversion"/>
  </si>
  <si>
    <r>
      <t>Nvidia AI GPU Shipments Estimates</t>
    </r>
    <r>
      <rPr>
        <b/>
        <sz val="10"/>
        <color rgb="FF000000"/>
        <rFont val="微软雅黑"/>
        <family val="2"/>
        <charset val="134"/>
      </rPr>
      <t>​</t>
    </r>
    <phoneticPr fontId="2" type="noConversion"/>
  </si>
  <si>
    <r>
      <t>​</t>
    </r>
    <r>
      <rPr>
        <sz val="10"/>
        <color rgb="FF000000"/>
        <rFont val="微软雅黑"/>
        <family val="2"/>
        <charset val="134"/>
      </rPr>
      <t>GPU Units – CoWoS-S Based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</si>
  <si>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CoWoS capacity consumption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</si>
  <si>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GPUs available for NVL server rack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</si>
  <si>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​- y-o-y chg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</si>
  <si>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Mix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</si>
  <si>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GPU Units – CoWoS-L Based (HGX/NVL)​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</si>
  <si>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GPUs per rack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</si>
  <si>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Net die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</si>
  <si>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GPU Units – NVL Racks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</si>
  <si>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NVL racks (units)​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</si>
  <si>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Units - GPUs based on CoWoS-S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</si>
  <si>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Blackwell racks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</si>
  <si>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39,500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</si>
  <si>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20,000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</si>
  <si>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​-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</si>
  <si>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AI GPUs based on CoWoS-S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</si>
  <si>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1,000,000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</si>
  <si>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Rubin racks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</si>
  <si>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</si>
  <si>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39,000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</si>
  <si>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Units - GPUs for NVL (Based on CoWoS-L)​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</si>
  <si>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racks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</si>
  <si>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60,000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</si>
  <si>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​- y-o-y change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</si>
  <si>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ASP (USD)​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</si>
  <si>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GPUs for HGX/NVL 16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</si>
  <si>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635,000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</si>
  <si>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610,000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</si>
  <si>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620,000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</si>
  <si>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Revenue (USDm)​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</si>
  <si>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Blackwell rack revenue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</si>
  <si>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111,476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</si>
  <si>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59,670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</si>
  <si>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GPUs for NVL (Based on CoWoS-L)​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</si>
  <si>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2,844,000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</si>
  <si>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4,320,000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</si>
  <si>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4,176,000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</si>
  <si>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AI GPUs based on CoWoS-L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</si>
  <si>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3,479,000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</si>
  <si>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4,930,000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</si>
  <si>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4,796,000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</si>
  <si>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Rubin rack revenue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</si>
  <si>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226,836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</si>
  <si>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230,623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</si>
  <si>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NVL server rack revenue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</si>
  <si>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286,506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</si>
  <si>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AI GPU units based on CoWoS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</si>
  <si>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4,479,000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</si>
  <si>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AI GPU units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</si>
  <si>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6,825,000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</si>
  <si>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7,330,000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</si>
  <si>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5,896,000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</si>
  <si>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Mix by series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</si>
  <si>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Revenue (AI GPUs) (USDm)​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</si>
  <si>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Total standalone GPUs revenue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</si>
  <si>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52,154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</si>
  <si>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41,100</t>
    </r>
    <r>
      <rPr>
        <sz val="10"/>
        <color rgb="FF000000"/>
        <rFont val="微软雅黑"/>
        <family val="2"/>
        <charset val="134"/>
      </rPr>
      <t>​</t>
    </r>
  </si>
  <si>
    <r>
      <t>​</t>
    </r>
    <r>
      <rPr>
        <sz val="10"/>
        <color rgb="FF000000"/>
        <rFont val="微软雅黑"/>
        <family val="2"/>
        <charset val="134"/>
      </rPr>
      <t>37,665</t>
    </r>
    <r>
      <rPr>
        <sz val="10"/>
        <color rgb="FF000000"/>
        <rFont val="微软雅黑"/>
        <family val="2"/>
        <charset val="134"/>
      </rPr>
      <t>​</t>
    </r>
  </si>
  <si>
    <t>HSBC 汇总</t>
    <phoneticPr fontId="2" type="noConversion"/>
  </si>
  <si>
    <t>Attach Ratio（配比） of Transceiver to GPU/ASIC</t>
    <phoneticPr fontId="2" type="noConversion"/>
  </si>
  <si>
    <t>配比的测算过程示例</t>
    <phoneticPr fontId="2" type="noConversion"/>
  </si>
  <si>
    <t># tansceivers in DGX GB200 (8机架，两层组网架构)</t>
    <phoneticPr fontId="2" type="noConversion"/>
  </si>
  <si>
    <t>1. 光模块配比取决于：网卡型号、交换机型号、组网架构（单元数量）</t>
    <phoneticPr fontId="2" type="noConversion"/>
  </si>
  <si>
    <t>机架侧</t>
    <phoneticPr fontId="2" type="noConversion"/>
  </si>
  <si>
    <t>机架数</t>
    <phoneticPr fontId="2" type="noConversion"/>
  </si>
  <si>
    <t>单GB200含B200数量</t>
    <phoneticPr fontId="2" type="noConversion"/>
  </si>
  <si>
    <t>单机架含B200数量</t>
    <phoneticPr fontId="2" type="noConversion"/>
  </si>
  <si>
    <t>单B200所需400G光模块数量</t>
    <phoneticPr fontId="2" type="noConversion"/>
  </si>
  <si>
    <t>18个计算托盘，每托盘2x GB200</t>
    <phoneticPr fontId="2" type="noConversion"/>
  </si>
  <si>
    <t>单机架所需400G光模块数量</t>
    <phoneticPr fontId="2" type="noConversion"/>
  </si>
  <si>
    <t>单机架的GB200数量</t>
    <phoneticPr fontId="2" type="noConversion"/>
  </si>
  <si>
    <t>每个B200对应1个CX-7网卡，每个CX-7网卡带有1个400G端口</t>
    <phoneticPr fontId="2" type="noConversion"/>
  </si>
  <si>
    <t>Leaf交换机侧</t>
    <phoneticPr fontId="2" type="noConversion"/>
  </si>
  <si>
    <t>3. 计算单元越多，层级越高，配比越高。英伟达给出的示例方案中普遍采用两层架构（2-layer spine-leaf fat-tree）</t>
    <phoneticPr fontId="2" type="noConversion"/>
  </si>
  <si>
    <t>2. 网卡型号在DGX中常与GPU卡绑定，对光模块测算影响可先忽略</t>
    <phoneticPr fontId="2" type="noConversion"/>
  </si>
  <si>
    <t>4. 交换机端口数会影响所需交换机数，进而影响组网架构，但总的换算端口数在fat-tree下几乎不受影响，因为fat-tree要求无阻塞网络，上行和下行带宽需相等</t>
    <phoneticPr fontId="2" type="noConversion"/>
  </si>
  <si>
    <t>下行带宽（GB/s）</t>
    <phoneticPr fontId="2" type="noConversion"/>
  </si>
  <si>
    <t>上行带宽（GB/s）</t>
    <phoneticPr fontId="2" type="noConversion"/>
  </si>
  <si>
    <t>Leaf层所需800G数量</t>
    <phoneticPr fontId="2" type="noConversion"/>
  </si>
  <si>
    <t>Spine交换机侧</t>
    <phoneticPr fontId="2" type="noConversion"/>
  </si>
  <si>
    <t>Spine层所需800G数量</t>
    <phoneticPr fontId="2" type="noConversion"/>
  </si>
  <si>
    <t>Note</t>
    <phoneticPr fontId="2" type="noConversion"/>
  </si>
  <si>
    <t>Spine的总下行带宽=Leaf的总上行带宽</t>
    <phoneticPr fontId="2" type="noConversion"/>
  </si>
  <si>
    <t>互连层级</t>
    <phoneticPr fontId="2" type="noConversion"/>
  </si>
  <si>
    <t>硬件层级</t>
    <phoneticPr fontId="2" type="noConversion"/>
  </si>
  <si>
    <t>汇总</t>
    <phoneticPr fontId="2" type="noConversion"/>
  </si>
  <si>
    <t>8机架所需800G数量</t>
    <phoneticPr fontId="2" type="noConversion"/>
  </si>
  <si>
    <t>8机架所需400G数量</t>
    <phoneticPr fontId="2" type="noConversion"/>
  </si>
  <si>
    <t>计算网络</t>
    <phoneticPr fontId="2" type="noConversion"/>
  </si>
  <si>
    <t>存储网络</t>
    <phoneticPr fontId="2" type="noConversion"/>
  </si>
  <si>
    <t>图示中，每rack最终连接了4台leaf交换机，为什么？
1. leaf交换机总共只有18个800G端口，一部分分配给上行（一般情况下是上行9个，下行9个）。
2. 每rack共72 * 400G = 36 * 800G，需要连接4 * leaf交换机，这是由无阻塞网络要求的。
3. leaf-spine的全连接则是由"GPU-leaf-spine-GPU"的任意实现要求。</t>
    <phoneticPr fontId="2" type="noConversion"/>
  </si>
  <si>
    <t>存储网络也需要两层交换机，总带宽为计算网络的1/7-1/6</t>
    <phoneticPr fontId="2" type="noConversion"/>
  </si>
  <si>
    <t>s</t>
    <phoneticPr fontId="2" type="noConversion"/>
  </si>
  <si>
    <t>网平专家反馈普遍为1:5，因5k卡以上大集群占比高导致配比高</t>
    <phoneticPr fontId="2" type="noConversion"/>
  </si>
  <si>
    <t>GB200 NVL72</t>
    <phoneticPr fontId="2" type="noConversion"/>
  </si>
  <si>
    <t>Meta DSF大规模集群</t>
    <phoneticPr fontId="2" type="noConversion"/>
  </si>
  <si>
    <t>ASP ($)</t>
    <phoneticPr fontId="2" type="noConversion"/>
  </si>
  <si>
    <t>市场规模 ($bn)</t>
    <phoneticPr fontId="2" type="noConversion"/>
  </si>
  <si>
    <t>出货量 (mn)</t>
    <phoneticPr fontId="2" type="noConversion"/>
  </si>
  <si>
    <t>2028E</t>
  </si>
  <si>
    <t>2028E</t>
    <phoneticPr fontId="2" type="noConversion"/>
  </si>
  <si>
    <t>Source: Goldman Sachs</t>
    <phoneticPr fontId="2" type="noConversion"/>
  </si>
  <si>
    <t>Source: Marvell</t>
    <phoneticPr fontId="2" type="noConversion"/>
  </si>
  <si>
    <t>ASIC chip</t>
    <phoneticPr fontId="2" type="noConversion"/>
  </si>
  <si>
    <t>(k units)</t>
  </si>
  <si>
    <t>2022</t>
  </si>
  <si>
    <t>2023</t>
  </si>
  <si>
    <t>2024</t>
  </si>
  <si>
    <t>2025E</t>
  </si>
  <si>
    <t>2026E</t>
  </si>
  <si>
    <t>2027E</t>
  </si>
  <si>
    <t>24-28 CAGR</t>
  </si>
  <si>
    <t>Total datacenter Al chip volumes</t>
  </si>
  <si>
    <t>15%</t>
  </si>
  <si>
    <t>YoY growth</t>
  </si>
  <si>
    <t>69%</t>
  </si>
  <si>
    <t>115%</t>
  </si>
  <si>
    <t>28%</t>
  </si>
  <si>
    <t>10%</t>
  </si>
  <si>
    <t>14%</t>
  </si>
  <si>
    <t>9%</t>
  </si>
  <si>
    <t>High end datacenter GPU volumes</t>
  </si>
  <si>
    <t>11%</t>
  </si>
  <si>
    <t>141%</t>
  </si>
  <si>
    <t>156%</t>
  </si>
  <si>
    <t>22%</t>
  </si>
  <si>
    <t>7%</t>
  </si>
  <si>
    <t>5%</t>
  </si>
  <si>
    <t>26%</t>
  </si>
  <si>
    <t>68%</t>
  </si>
  <si>
    <t>39%</t>
  </si>
  <si>
    <t>25%</t>
  </si>
  <si>
    <t>Chip per server</t>
  </si>
  <si>
    <t>Chip per ASIC server</t>
  </si>
  <si>
    <t>5</t>
  </si>
  <si>
    <t>7</t>
  </si>
  <si>
    <t>8</t>
  </si>
  <si>
    <t>9</t>
  </si>
  <si>
    <t>GPU per server</t>
  </si>
  <si>
    <t>GB structure</t>
  </si>
  <si>
    <t>4</t>
  </si>
  <si>
    <t>HGX structure</t>
  </si>
  <si>
    <t>Total Al server volumes</t>
  </si>
  <si>
    <t>401</t>
  </si>
  <si>
    <t>577</t>
  </si>
  <si>
    <t>1,066</t>
  </si>
  <si>
    <t>1,817</t>
  </si>
  <si>
    <t>1,988</t>
  </si>
  <si>
    <t>2,228</t>
  </si>
  <si>
    <t>23%</t>
  </si>
  <si>
    <t>44%</t>
  </si>
  <si>
    <t>85%</t>
  </si>
  <si>
    <t>70%</t>
  </si>
  <si>
    <t>12%</t>
  </si>
  <si>
    <t>8%</t>
  </si>
  <si>
    <t>High end GPU Al server shipment</t>
  </si>
  <si>
    <t>100</t>
  </si>
  <si>
    <t>241</t>
  </si>
  <si>
    <t>635</t>
  </si>
  <si>
    <t>1,231</t>
  </si>
  <si>
    <t>1,440</t>
  </si>
  <si>
    <t>1,584</t>
  </si>
  <si>
    <t>163%</t>
  </si>
  <si>
    <t>94%</t>
  </si>
  <si>
    <t>17%</t>
  </si>
  <si>
    <t>AI ASIC server shipment</t>
  </si>
  <si>
    <t>301</t>
  </si>
  <si>
    <t>336</t>
  </si>
  <si>
    <t>432</t>
  </si>
  <si>
    <t>585</t>
  </si>
  <si>
    <t>547</t>
  </si>
  <si>
    <t>644</t>
  </si>
  <si>
    <t>699</t>
  </si>
  <si>
    <t>13%</t>
  </si>
  <si>
    <t>36%</t>
  </si>
  <si>
    <t>-7%</t>
  </si>
  <si>
    <t>18%</t>
  </si>
  <si>
    <t>Global server shipment(mn units)</t>
  </si>
  <si>
    <t>13.8</t>
  </si>
  <si>
    <t>11.4</t>
  </si>
  <si>
    <t>12.1</t>
  </si>
  <si>
    <t>12.3</t>
  </si>
  <si>
    <t>12.7</t>
  </si>
  <si>
    <t>13.1</t>
  </si>
  <si>
    <t>2%</t>
  </si>
  <si>
    <t>Total Al server% mix</t>
  </si>
  <si>
    <t>2.9%</t>
  </si>
  <si>
    <t>5.1%</t>
  </si>
  <si>
    <t>8.8%</t>
  </si>
  <si>
    <t>14.7%</t>
  </si>
  <si>
    <t>16.1%</t>
  </si>
  <si>
    <t>17.6%</t>
  </si>
  <si>
    <t>18.4%</t>
  </si>
  <si>
    <t>High end GPU Al server% mix</t>
  </si>
  <si>
    <t>0.7%</t>
  </si>
  <si>
    <t>2.1%</t>
  </si>
  <si>
    <t>5.3%</t>
  </si>
  <si>
    <t>10.0%</t>
  </si>
  <si>
    <t>11.7%</t>
  </si>
  <si>
    <t>12.5%</t>
  </si>
  <si>
    <t>13.0%</t>
  </si>
  <si>
    <t>ASIC chip per servers</t>
  </si>
  <si>
    <t>2.2%</t>
  </si>
  <si>
    <t>3.0%</t>
  </si>
  <si>
    <t>3.6%</t>
  </si>
  <si>
    <t>4.7%</t>
  </si>
  <si>
    <t>4.4%</t>
  </si>
  <si>
    <t>采用市场规模交叉验证</t>
    <phoneticPr fontId="2" type="noConversion"/>
  </si>
  <si>
    <t>约为NV的1/5</t>
    <phoneticPr fontId="2" type="noConversion"/>
  </si>
  <si>
    <t>基本align</t>
    <phoneticPr fontId="2" type="noConversion"/>
  </si>
  <si>
    <t>ASIC (k units)</t>
    <phoneticPr fontId="2" type="noConversion"/>
  </si>
  <si>
    <t>等效800G</t>
    <phoneticPr fontId="2" type="noConversion"/>
  </si>
  <si>
    <t>高：Meta，1:8
中：GCP，1:3
低：AWS, 1:1.5 （当前铜互连为主）</t>
    <phoneticPr fontId="2" type="noConversion"/>
  </si>
  <si>
    <t># transceivers/ASIC</t>
  </si>
  <si>
    <t># transceivers/ASIC</t>
    <phoneticPr fontId="2" type="noConversion"/>
  </si>
  <si>
    <t>800G</t>
  </si>
  <si>
    <t>1.6T</t>
  </si>
  <si>
    <t>3.2T</t>
  </si>
  <si>
    <t>6:4:0</t>
  </si>
  <si>
    <t>3:5:2</t>
  </si>
  <si>
    <t>2:5:3</t>
  </si>
  <si>
    <t># transceivers/GPU</t>
  </si>
  <si>
    <t xml:space="preserve">400G </t>
  </si>
  <si>
    <t>From sheet "Card to Transceiver"</t>
    <phoneticPr fontId="2" type="noConversion"/>
  </si>
  <si>
    <t>From sheet "ASIC pipeline"</t>
    <phoneticPr fontId="2" type="noConversion"/>
  </si>
  <si>
    <t>From sheet "GPU pipeline"</t>
    <phoneticPr fontId="2" type="noConversion"/>
  </si>
  <si>
    <t>25E</t>
    <phoneticPr fontId="2" type="noConversion"/>
  </si>
  <si>
    <t>/</t>
    <phoneticPr fontId="2" type="noConversion"/>
  </si>
  <si>
    <r>
      <t>Nvidia AI GPU Shipments Estimates</t>
    </r>
    <r>
      <rPr>
        <b/>
        <sz val="10"/>
        <color theme="0"/>
        <rFont val="MS Gothic"/>
        <family val="3"/>
        <charset val="128"/>
      </rPr>
      <t>​</t>
    </r>
    <r>
      <rPr>
        <b/>
        <sz val="10"/>
        <color theme="0"/>
        <rFont val="微软雅黑"/>
        <family val="2"/>
        <charset val="134"/>
      </rPr>
      <t>(k units)</t>
    </r>
    <phoneticPr fontId="2" type="noConversion"/>
  </si>
  <si>
    <t>Check Source: LightCounting</t>
    <phoneticPr fontId="2" type="noConversion"/>
  </si>
  <si>
    <t>部分转向3.2T</t>
    <phoneticPr fontId="2" type="noConversion"/>
  </si>
  <si>
    <t>Rubin （2026）</t>
    <phoneticPr fontId="2" type="noConversion"/>
  </si>
  <si>
    <t>Rubin Ultra （2027）</t>
    <phoneticPr fontId="2" type="noConversion"/>
  </si>
  <si>
    <t>B300/GB300 （2025）</t>
    <phoneticPr fontId="2" type="noConversion"/>
  </si>
  <si>
    <t>H100/H200 （2022-2024）</t>
    <phoneticPr fontId="2" type="noConversion"/>
  </si>
  <si>
    <t>H20（2024）</t>
    <phoneticPr fontId="2" type="noConversion"/>
  </si>
  <si>
    <t>B200/GB200 （2025）</t>
    <phoneticPr fontId="2" type="noConversion"/>
  </si>
  <si>
    <t>参考调研纪要公众号披露，Rubin对光模块的需求量是GB300的2x，且部分转向1.6T</t>
    <phoneticPr fontId="2" type="noConversion"/>
  </si>
  <si>
    <t>2:2:1</t>
  </si>
  <si>
    <t>Source: LightCounting，光模块各速率渗透率</t>
    <phoneticPr fontId="2" type="noConversion"/>
  </si>
  <si>
    <t>光模块需求量</t>
    <phoneticPr fontId="2" type="noConversion"/>
  </si>
  <si>
    <t>CPO在各速率光模块的渗透率</t>
    <phoneticPr fontId="2" type="noConversion"/>
  </si>
  <si>
    <t>yoy</t>
    <phoneticPr fontId="2" type="noConversion"/>
  </si>
  <si>
    <t>CPO渗透率</t>
    <phoneticPr fontId="2" type="noConversion"/>
  </si>
  <si>
    <t>总规模 ($bn)</t>
    <phoneticPr fontId="2" type="noConversion"/>
  </si>
  <si>
    <t>光模块单价（美元）</t>
    <phoneticPr fontId="2" type="noConversion"/>
  </si>
  <si>
    <t>CPO市场规模</t>
    <phoneticPr fontId="2" type="noConversion"/>
  </si>
  <si>
    <t>Summary (mn units)</t>
    <phoneticPr fontId="2" type="noConversion"/>
  </si>
  <si>
    <t>总CPO端口数 (mn units)</t>
    <phoneticPr fontId="2" type="noConversion"/>
  </si>
  <si>
    <t>各速率规模 ($bn)</t>
    <phoneticPr fontId="2" type="noConversion"/>
  </si>
  <si>
    <t>Check: GPU和ASIC的光模块配比</t>
    <phoneticPr fontId="2" type="noConversion"/>
  </si>
  <si>
    <t>Nvidia</t>
    <phoneticPr fontId="2" type="noConversion"/>
  </si>
  <si>
    <t>ASIC</t>
    <phoneticPr fontId="2" type="noConversion"/>
  </si>
  <si>
    <t>CPO整机平摊到每端口的价值</t>
    <phoneticPr fontId="2" type="noConversion"/>
  </si>
  <si>
    <t>N</t>
    <phoneticPr fontId="2" type="noConversion"/>
  </si>
  <si>
    <t>p</t>
    <phoneticPr fontId="2" type="noConversion"/>
  </si>
  <si>
    <t>sigma</t>
    <phoneticPr fontId="2" type="noConversion"/>
  </si>
  <si>
    <t>L</t>
    <phoneticPr fontId="2" type="noConversion"/>
  </si>
  <si>
    <t>g</t>
    <phoneticPr fontId="2" type="noConversion"/>
  </si>
  <si>
    <t>Sum</t>
    <phoneticPr fontId="2" type="noConversion"/>
  </si>
  <si>
    <t>ASIC chip volume</t>
    <phoneticPr fontId="2" type="noConversion"/>
  </si>
  <si>
    <t>ASIC chip volume share</t>
    <phoneticPr fontId="2" type="noConversion"/>
  </si>
  <si>
    <t>SUM</t>
    <phoneticPr fontId="2" type="noConversion"/>
  </si>
  <si>
    <t>IDC ASIC Chip Shipment Estimates(k units)</t>
    <phoneticPr fontId="2" type="noConversion"/>
  </si>
  <si>
    <t xml:space="preserve"> </t>
    <phoneticPr fontId="2" type="noConversion"/>
  </si>
  <si>
    <t>Check: GPU和ASIC的等效800G光模块配比</t>
    <phoneticPr fontId="2" type="noConversion"/>
  </si>
  <si>
    <t>ASIC光模块配比</t>
    <phoneticPr fontId="2" type="noConversion"/>
  </si>
  <si>
    <t>GPU光模块配比</t>
    <phoneticPr fontId="2" type="noConversion"/>
  </si>
  <si>
    <t>总潜在端口数 (mn units)</t>
    <phoneticPr fontId="2" type="noConversion"/>
  </si>
  <si>
    <t>英伟达潜在端口数 (mn units)</t>
    <phoneticPr fontId="2" type="noConversion"/>
  </si>
  <si>
    <t>GPU出货量 (mn units)</t>
    <phoneticPr fontId="2" type="noConversion"/>
  </si>
  <si>
    <t>ASIC潜在端口数 (mn units)</t>
    <phoneticPr fontId="2" type="noConversion"/>
  </si>
  <si>
    <t>ASIC出货量 (mn units)</t>
    <phoneticPr fontId="2" type="noConversion"/>
  </si>
  <si>
    <t>CPO市场规模($bn)</t>
    <phoneticPr fontId="2" type="noConversion"/>
  </si>
  <si>
    <t>CPO每端口价值($)</t>
    <phoneticPr fontId="2" type="noConversion"/>
  </si>
  <si>
    <t>年份</t>
  </si>
  <si>
    <t>等效800G数量分配</t>
    <phoneticPr fontId="2" type="noConversion"/>
  </si>
  <si>
    <t>ASIC volume yoy</t>
    <phoneticPr fontId="2" type="noConversion"/>
  </si>
  <si>
    <t>ASIC chip (k units)</t>
    <phoneticPr fontId="2" type="noConversion"/>
  </si>
  <si>
    <t>参考高盛测算中隐含的2026年ASIC市占率40%</t>
    <phoneticPr fontId="2" type="noConversion"/>
  </si>
  <si>
    <t>参考高盛测算中27、28年yoy分别为25%和15%</t>
    <phoneticPr fontId="2" type="noConversion"/>
  </si>
  <si>
    <t>比例 1:1:0</t>
    <phoneticPr fontId="2" type="noConversion"/>
  </si>
  <si>
    <t>比例 1:3:2</t>
    <phoneticPr fontId="2" type="noConversion"/>
  </si>
  <si>
    <t>比例 1:2:1</t>
    <phoneticPr fontId="2" type="noConversion"/>
  </si>
  <si>
    <t>Data center switch market cap ($mn)</t>
    <phoneticPr fontId="2" type="noConversion"/>
  </si>
  <si>
    <t>&gt;= 800G share</t>
    <phoneticPr fontId="2" type="noConversion"/>
  </si>
  <si>
    <t>Hight speed transceiver market cap ($bn)</t>
    <phoneticPr fontId="2" type="noConversion"/>
  </si>
  <si>
    <t>High speed switch market cap($bn)</t>
    <phoneticPr fontId="2" type="noConversion"/>
  </si>
  <si>
    <t>Check Source: Omdia, Lightcounting</t>
    <phoneticPr fontId="2" type="noConversion"/>
  </si>
  <si>
    <t>CPO penetration rate</t>
    <phoneticPr fontId="2" type="noConversion"/>
  </si>
  <si>
    <t>Switch + transceiver market cap ($bn)</t>
    <phoneticPr fontId="2" type="noConversion"/>
  </si>
  <si>
    <t>CPO market cap ($bn)</t>
    <phoneticPr fontId="2" type="noConversion"/>
  </si>
  <si>
    <t>数据中心ASIC chip出货量预测：情形一</t>
    <phoneticPr fontId="2" type="noConversion"/>
  </si>
  <si>
    <t>数据中心ASIC chip出货量预测：情形二（符合出货量预期）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</si>
</sst>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 * #,##0_ ;_ * \-#,##0_ ;_ * &quot;-&quot;??_ ;_ @_ "/>
    <numFmt numFmtId="177" formatCode="0.00_);[Red]\(0.00\)"/>
    <numFmt numFmtId="178" formatCode="0.0"/>
    <numFmt numFmtId="179" formatCode="0_);[Red]\(0\)"/>
  </numFmts>
  <fonts count="23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i/>
      <sz val="10"/>
      <color rgb="FF000000"/>
      <name val="微软雅黑"/>
      <family val="2"/>
      <charset val="134"/>
    </font>
    <font>
      <i/>
      <sz val="10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i/>
      <sz val="10"/>
      <color theme="0"/>
      <name val="微软雅黑"/>
      <family val="2"/>
      <charset val="134"/>
    </font>
    <font>
      <sz val="10"/>
      <color rgb="FF0A0A0A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0"/>
      <name val="MS Gothic"/>
      <family val="3"/>
      <charset val="128"/>
    </font>
    <font>
      <sz val="10"/>
      <color theme="0" tint="-0.499984740745262"/>
      <name val="微软雅黑"/>
      <family val="2"/>
      <charset val="134"/>
    </font>
    <font>
      <b/>
      <sz val="10"/>
      <color rgb="FF0A0A0A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</borders>
  <cellStyleXfs count="4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2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2" applyFont="1">
      <alignment vertical="center"/>
    </xf>
    <xf numFmtId="0" fontId="0" fillId="0" borderId="0" xfId="0">
      <alignment vertical="center"/>
    </xf>
    <xf numFmtId="0" fontId="11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>
      <alignment vertical="center"/>
    </xf>
    <xf numFmtId="0" fontId="4" fillId="0" borderId="0" xfId="0" applyFont="1" applyAlignment="1">
      <alignment horizontal="right" vertical="center" wrapText="1"/>
    </xf>
    <xf numFmtId="3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3" fontId="4" fillId="0" borderId="0" xfId="0" applyNumberFormat="1" applyFont="1" applyAlignment="1">
      <alignment horizontal="right" vertical="center" wrapText="1"/>
    </xf>
    <xf numFmtId="9" fontId="4" fillId="0" borderId="0" xfId="0" applyNumberFormat="1" applyFont="1" applyAlignment="1">
      <alignment horizontal="left" vertical="center" wrapText="1"/>
    </xf>
    <xf numFmtId="3" fontId="1" fillId="0" borderId="0" xfId="0" applyNumberFormat="1" applyFont="1">
      <alignment vertical="center"/>
    </xf>
    <xf numFmtId="0" fontId="12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vertical="center" wrapText="1"/>
    </xf>
    <xf numFmtId="10" fontId="4" fillId="0" borderId="0" xfId="0" applyNumberFormat="1" applyFont="1" applyAlignment="1">
      <alignment horizontal="left" vertical="center" wrapText="1"/>
    </xf>
    <xf numFmtId="0" fontId="12" fillId="0" borderId="0" xfId="0" applyFont="1">
      <alignment vertical="center"/>
    </xf>
    <xf numFmtId="0" fontId="3" fillId="0" borderId="0" xfId="0" applyFont="1">
      <alignment vertical="center"/>
    </xf>
    <xf numFmtId="0" fontId="13" fillId="0" borderId="0" xfId="0" applyFont="1">
      <alignment vertical="center"/>
    </xf>
    <xf numFmtId="0" fontId="13" fillId="2" borderId="0" xfId="0" applyFont="1" applyFill="1">
      <alignment vertical="center"/>
    </xf>
    <xf numFmtId="0" fontId="8" fillId="0" borderId="0" xfId="0" applyFont="1" applyAlignment="1">
      <alignment vertical="center" wrapText="1"/>
    </xf>
    <xf numFmtId="0" fontId="15" fillId="3" borderId="0" xfId="0" applyFont="1" applyFill="1">
      <alignment vertical="center"/>
    </xf>
    <xf numFmtId="0" fontId="16" fillId="3" borderId="0" xfId="0" applyFont="1" applyFill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0" fontId="8" fillId="0" borderId="3" xfId="0" applyFont="1" applyBorder="1">
      <alignment vertical="center"/>
    </xf>
    <xf numFmtId="176" fontId="1" fillId="0" borderId="0" xfId="1" applyNumberFormat="1" applyFont="1">
      <alignment vertical="center"/>
    </xf>
    <xf numFmtId="0" fontId="8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3" fillId="0" borderId="0" xfId="0" applyFont="1" applyAlignment="1">
      <alignment vertical="center" wrapText="1"/>
    </xf>
    <xf numFmtId="176" fontId="1" fillId="0" borderId="0" xfId="1" applyNumberFormat="1" applyFont="1" applyAlignment="1">
      <alignment horizontal="right" vertical="center"/>
    </xf>
    <xf numFmtId="43" fontId="1" fillId="0" borderId="0" xfId="1" applyFont="1">
      <alignment vertical="center"/>
    </xf>
    <xf numFmtId="176" fontId="1" fillId="0" borderId="3" xfId="1" applyNumberFormat="1" applyFont="1" applyBorder="1" applyAlignment="1">
      <alignment horizontal="right" vertical="center"/>
    </xf>
    <xf numFmtId="176" fontId="8" fillId="0" borderId="3" xfId="1" applyNumberFormat="1" applyFont="1" applyBorder="1" applyAlignment="1">
      <alignment horizontal="right" vertical="center"/>
    </xf>
    <xf numFmtId="176" fontId="1" fillId="0" borderId="3" xfId="1" applyNumberFormat="1" applyFont="1" applyBorder="1">
      <alignment vertical="center"/>
    </xf>
    <xf numFmtId="0" fontId="14" fillId="3" borderId="0" xfId="0" applyFont="1" applyFill="1">
      <alignment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177" fontId="17" fillId="0" borderId="0" xfId="0" applyNumberFormat="1" applyFont="1" applyBorder="1" applyAlignment="1">
      <alignment horizontal="center" vertical="center" wrapText="1"/>
    </xf>
    <xf numFmtId="177" fontId="1" fillId="0" borderId="0" xfId="0" applyNumberFormat="1" applyFont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2" fontId="1" fillId="0" borderId="0" xfId="0" applyNumberFormat="1" applyFont="1">
      <alignment vertical="center"/>
    </xf>
    <xf numFmtId="0" fontId="19" fillId="0" borderId="0" xfId="0" applyFont="1" applyFill="1">
      <alignment vertical="center"/>
    </xf>
    <xf numFmtId="0" fontId="18" fillId="0" borderId="0" xfId="0" applyFont="1" applyFill="1">
      <alignment vertical="center"/>
    </xf>
    <xf numFmtId="0" fontId="8" fillId="0" borderId="2" xfId="0" applyFont="1" applyBorder="1">
      <alignment vertical="center"/>
    </xf>
    <xf numFmtId="0" fontId="19" fillId="0" borderId="0" xfId="0" applyFont="1" applyFill="1" applyBorder="1">
      <alignment vertical="center"/>
    </xf>
    <xf numFmtId="0" fontId="9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49" fontId="1" fillId="0" borderId="0" xfId="0" applyNumberFormat="1" applyFont="1">
      <alignment vertical="center"/>
    </xf>
    <xf numFmtId="1" fontId="9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176" fontId="18" fillId="0" borderId="0" xfId="1" applyNumberFormat="1" applyFont="1">
      <alignment vertical="center"/>
    </xf>
    <xf numFmtId="0" fontId="1" fillId="0" borderId="0" xfId="0" applyFont="1" applyFill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9" fontId="1" fillId="0" borderId="0" xfId="3" applyFont="1" applyBorder="1">
      <alignment vertical="center"/>
    </xf>
    <xf numFmtId="0" fontId="8" fillId="0" borderId="4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8" fillId="0" borderId="4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43" fontId="17" fillId="0" borderId="0" xfId="1" applyNumberFormat="1" applyFont="1" applyBorder="1" applyAlignment="1">
      <alignment horizontal="center" vertical="center" wrapText="1"/>
    </xf>
    <xf numFmtId="0" fontId="21" fillId="0" borderId="0" xfId="0" applyFont="1">
      <alignment vertical="center"/>
    </xf>
    <xf numFmtId="0" fontId="8" fillId="0" borderId="4" xfId="0" applyFont="1" applyBorder="1">
      <alignment vertical="center"/>
    </xf>
    <xf numFmtId="0" fontId="15" fillId="3" borderId="4" xfId="0" applyFont="1" applyFill="1" applyBorder="1">
      <alignment vertical="center"/>
    </xf>
    <xf numFmtId="0" fontId="8" fillId="0" borderId="4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left" vertical="center" wrapText="1" indent="1"/>
    </xf>
    <xf numFmtId="0" fontId="1" fillId="0" borderId="4" xfId="0" applyFont="1" applyBorder="1">
      <alignment vertical="center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9" fontId="1" fillId="0" borderId="0" xfId="0" applyNumberFormat="1" applyFont="1">
      <alignment vertical="center"/>
    </xf>
    <xf numFmtId="178" fontId="1" fillId="0" borderId="0" xfId="0" applyNumberFormat="1" applyFont="1" applyBorder="1" applyAlignment="1">
      <alignment horizontal="center" vertical="center"/>
    </xf>
    <xf numFmtId="43" fontId="1" fillId="0" borderId="0" xfId="0" applyNumberFormat="1" applyFont="1">
      <alignment vertical="center"/>
    </xf>
    <xf numFmtId="9" fontId="9" fillId="0" borderId="0" xfId="0" applyNumberFormat="1" applyFont="1" applyFill="1">
      <alignment vertical="center"/>
    </xf>
    <xf numFmtId="0" fontId="9" fillId="0" borderId="0" xfId="0" applyFont="1" applyFill="1">
      <alignment vertical="center"/>
    </xf>
    <xf numFmtId="178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1" fontId="15" fillId="3" borderId="0" xfId="0" applyNumberFormat="1" applyFont="1" applyFill="1" applyAlignment="1">
      <alignment horizontal="center" vertical="center"/>
    </xf>
    <xf numFmtId="43" fontId="8" fillId="0" borderId="0" xfId="0" applyNumberFormat="1" applyFont="1">
      <alignment vertical="center"/>
    </xf>
    <xf numFmtId="179" fontId="17" fillId="0" borderId="0" xfId="0" applyNumberFormat="1" applyFont="1" applyBorder="1" applyAlignment="1">
      <alignment horizontal="center" vertical="center" wrapText="1"/>
    </xf>
    <xf numFmtId="176" fontId="1" fillId="0" borderId="0" xfId="0" applyNumberFormat="1" applyFont="1">
      <alignment vertical="center"/>
    </xf>
    <xf numFmtId="176" fontId="1" fillId="0" borderId="0" xfId="1" applyNumberFormat="1" applyFont="1" applyAlignment="1">
      <alignment horizontal="center" vertical="center"/>
    </xf>
    <xf numFmtId="176" fontId="17" fillId="0" borderId="0" xfId="1" applyNumberFormat="1" applyFont="1" applyBorder="1" applyAlignment="1">
      <alignment horizontal="center" vertical="center" wrapText="1"/>
    </xf>
    <xf numFmtId="9" fontId="8" fillId="0" borderId="0" xfId="0" applyNumberFormat="1" applyFont="1">
      <alignment vertical="center"/>
    </xf>
    <xf numFmtId="0" fontId="8" fillId="0" borderId="0" xfId="0" applyFont="1" applyAlignment="1">
      <alignment horizontal="left" vertical="center" indent="2"/>
    </xf>
    <xf numFmtId="9" fontId="8" fillId="0" borderId="0" xfId="3" applyFont="1">
      <alignment vertical="center"/>
    </xf>
    <xf numFmtId="176" fontId="22" fillId="0" borderId="0" xfId="1" applyNumberFormat="1" applyFont="1" applyBorder="1" applyAlignment="1">
      <alignment horizontal="right" vertical="center" wrapText="1"/>
    </xf>
    <xf numFmtId="9" fontId="17" fillId="0" borderId="0" xfId="0" applyNumberFormat="1" applyFont="1" applyBorder="1" applyAlignment="1">
      <alignment horizontal="right" vertical="center" wrapText="1"/>
    </xf>
    <xf numFmtId="21" fontId="13" fillId="0" borderId="0" xfId="0" applyNumberFormat="1" applyFont="1" applyAlignment="1">
      <alignment vertical="center" wrapText="1"/>
    </xf>
    <xf numFmtId="178" fontId="9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4">
    <cellStyle name="百分比" xfId="3" builtinId="5"/>
    <cellStyle name="常规" xfId="0" builtinId="0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93980</xdr:colOff>
      <xdr:row>1</xdr:row>
      <xdr:rowOff>58420</xdr:rowOff>
    </xdr:from>
    <xdr:ext cx="3847185" cy="3796690"/>
    <xdr:pic>
      <xdr:nvPicPr>
        <xdr:cNvPr id="3" name="图片 2">
          <a:extLst>
            <a:ext uri="{FF2B5EF4-FFF2-40B4-BE49-F238E27FC236}">
              <a16:creationId xmlns:a16="http://schemas.microsoft.com/office/drawing/2014/main" id="{A45EB7D8-9DC2-46AB-81F4-203B21AE2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2930" y="236220"/>
          <a:ext cx="3847185" cy="3796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20</xdr:col>
      <xdr:colOff>601349</xdr:colOff>
      <xdr:row>9</xdr:row>
      <xdr:rowOff>164217</xdr:rowOff>
    </xdr:from>
    <xdr:to>
      <xdr:col>27</xdr:col>
      <xdr:colOff>1359150</xdr:colOff>
      <xdr:row>36</xdr:row>
      <xdr:rowOff>114132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2270729-DE42-77CE-0DE8-E1331DC52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41899" y="1869192"/>
          <a:ext cx="8034901" cy="4826715"/>
        </a:xfrm>
        <a:prstGeom prst="rect">
          <a:avLst/>
        </a:prstGeom>
      </xdr:spPr>
    </xdr:pic>
    <xdr:clientData/>
  </xdr:twoCellAnchor>
  <xdr:oneCellAnchor>
    <xdr:from>
      <xdr:col>21</xdr:col>
      <xdr:colOff>98744</xdr:colOff>
      <xdr:row>35</xdr:row>
      <xdr:rowOff>79905</xdr:rowOff>
    </xdr:from>
    <xdr:ext cx="9453333" cy="3532063"/>
    <xdr:pic>
      <xdr:nvPicPr>
        <xdr:cNvPr id="4" name="图片 3">
          <a:extLst>
            <a:ext uri="{FF2B5EF4-FFF2-40B4-BE49-F238E27FC236}">
              <a16:creationId xmlns:a16="http://schemas.microsoft.com/office/drawing/2014/main" id="{8583D8B3-CECB-40A7-9D1A-ED44BDAFC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06044" y="6480705"/>
          <a:ext cx="9453333" cy="353206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7621</xdr:colOff>
      <xdr:row>22</xdr:row>
      <xdr:rowOff>44450</xdr:rowOff>
    </xdr:from>
    <xdr:to>
      <xdr:col>2</xdr:col>
      <xdr:colOff>300164</xdr:colOff>
      <xdr:row>36</xdr:row>
      <xdr:rowOff>56692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D8632C6-9EFB-378B-0C7B-454B79CAB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721" y="1822450"/>
          <a:ext cx="2896043" cy="2515797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35</xdr:row>
      <xdr:rowOff>75384</xdr:rowOff>
    </xdr:from>
    <xdr:to>
      <xdr:col>3</xdr:col>
      <xdr:colOff>819150</xdr:colOff>
      <xdr:row>43</xdr:row>
      <xdr:rowOff>119198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85BA796-A712-AFC8-F4E2-0C32CAEF8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3420" y="4342584"/>
          <a:ext cx="4330700" cy="1473833"/>
        </a:xfrm>
        <a:prstGeom prst="rect">
          <a:avLst/>
        </a:prstGeom>
      </xdr:spPr>
    </xdr:pic>
    <xdr:clientData/>
  </xdr:twoCellAnchor>
  <xdr:twoCellAnchor editAs="oneCell">
    <xdr:from>
      <xdr:col>3</xdr:col>
      <xdr:colOff>868680</xdr:colOff>
      <xdr:row>23</xdr:row>
      <xdr:rowOff>164528</xdr:rowOff>
    </xdr:from>
    <xdr:to>
      <xdr:col>7</xdr:col>
      <xdr:colOff>462195</xdr:colOff>
      <xdr:row>42</xdr:row>
      <xdr:rowOff>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DD6643A-98FE-9F11-9B97-768F4AD0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72380" y="2120328"/>
          <a:ext cx="3279140" cy="3221739"/>
        </a:xfrm>
        <a:prstGeom prst="rect">
          <a:avLst/>
        </a:prstGeom>
      </xdr:spPr>
    </xdr:pic>
    <xdr:clientData/>
  </xdr:twoCellAnchor>
  <xdr:twoCellAnchor editAs="oneCell">
    <xdr:from>
      <xdr:col>18</xdr:col>
      <xdr:colOff>665300</xdr:colOff>
      <xdr:row>7</xdr:row>
      <xdr:rowOff>134375</xdr:rowOff>
    </xdr:from>
    <xdr:to>
      <xdr:col>27</xdr:col>
      <xdr:colOff>63816</xdr:colOff>
      <xdr:row>19</xdr:row>
      <xdr:rowOff>1079876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6E3576D-5799-23E0-4BA8-9AB61B06A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390829" y="1680787"/>
          <a:ext cx="5447153" cy="3453899"/>
        </a:xfrm>
        <a:prstGeom prst="rect">
          <a:avLst/>
        </a:prstGeom>
      </xdr:spPr>
    </xdr:pic>
    <xdr:clientData/>
  </xdr:twoCellAnchor>
  <xdr:twoCellAnchor editAs="oneCell">
    <xdr:from>
      <xdr:col>17</xdr:col>
      <xdr:colOff>2416720</xdr:colOff>
      <xdr:row>20</xdr:row>
      <xdr:rowOff>166273</xdr:rowOff>
    </xdr:from>
    <xdr:to>
      <xdr:col>27</xdr:col>
      <xdr:colOff>417843</xdr:colOff>
      <xdr:row>30</xdr:row>
      <xdr:rowOff>164676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94B8EEC-D5A4-45A3-5793-4D4AF3F8F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485981" y="5914403"/>
          <a:ext cx="7051253" cy="1765360"/>
        </a:xfrm>
        <a:prstGeom prst="rect">
          <a:avLst/>
        </a:prstGeom>
      </xdr:spPr>
    </xdr:pic>
    <xdr:clientData/>
  </xdr:twoCellAnchor>
  <xdr:twoCellAnchor editAs="oneCell">
    <xdr:from>
      <xdr:col>0</xdr:col>
      <xdr:colOff>662213</xdr:colOff>
      <xdr:row>64</xdr:row>
      <xdr:rowOff>95975</xdr:rowOff>
    </xdr:from>
    <xdr:to>
      <xdr:col>3</xdr:col>
      <xdr:colOff>185693</xdr:colOff>
      <xdr:row>82</xdr:row>
      <xdr:rowOff>49790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489A932-C505-5AF1-788D-9C3450BED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2213" y="9167404"/>
          <a:ext cx="4723223" cy="3223340"/>
        </a:xfrm>
        <a:prstGeom prst="rect">
          <a:avLst/>
        </a:prstGeom>
      </xdr:spPr>
    </xdr:pic>
    <xdr:clientData/>
  </xdr:twoCellAnchor>
  <xdr:twoCellAnchor editAs="oneCell">
    <xdr:from>
      <xdr:col>19</xdr:col>
      <xdr:colOff>149909</xdr:colOff>
      <xdr:row>34</xdr:row>
      <xdr:rowOff>62696</xdr:rowOff>
    </xdr:from>
    <xdr:to>
      <xdr:col>26</xdr:col>
      <xdr:colOff>362249</xdr:colOff>
      <xdr:row>55</xdr:row>
      <xdr:rowOff>32763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21D48B5-E15E-2ADE-55F1-70DBC6910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906093" y="8250854"/>
          <a:ext cx="4949774" cy="36521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245269</xdr:colOff>
      <xdr:row>34</xdr:row>
      <xdr:rowOff>131641</xdr:rowOff>
    </xdr:from>
    <xdr:to>
      <xdr:col>28</xdr:col>
      <xdr:colOff>641138</xdr:colOff>
      <xdr:row>61</xdr:row>
      <xdr:rowOff>27277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54CC8A0-8AE9-C36B-4903-D39A07C5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86387" y="6750582"/>
          <a:ext cx="7811623" cy="4735307"/>
        </a:xfrm>
        <a:prstGeom prst="rect">
          <a:avLst/>
        </a:prstGeom>
      </xdr:spPr>
    </xdr:pic>
    <xdr:clientData/>
  </xdr:twoCellAnchor>
  <xdr:twoCellAnchor editAs="oneCell">
    <xdr:from>
      <xdr:col>9</xdr:col>
      <xdr:colOff>1091</xdr:colOff>
      <xdr:row>27</xdr:row>
      <xdr:rowOff>363</xdr:rowOff>
    </xdr:from>
    <xdr:to>
      <xdr:col>10</xdr:col>
      <xdr:colOff>2699552</xdr:colOff>
      <xdr:row>58</xdr:row>
      <xdr:rowOff>30030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FE390E2-3F69-6731-98F5-187FD513D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0241" y="5321663"/>
          <a:ext cx="3370291" cy="5544007"/>
        </a:xfrm>
        <a:prstGeom prst="rect">
          <a:avLst/>
        </a:prstGeom>
      </xdr:spPr>
    </xdr:pic>
    <xdr:clientData/>
  </xdr:twoCellAnchor>
  <xdr:twoCellAnchor editAs="oneCell">
    <xdr:from>
      <xdr:col>10</xdr:col>
      <xdr:colOff>2895504</xdr:colOff>
      <xdr:row>27</xdr:row>
      <xdr:rowOff>139336</xdr:rowOff>
    </xdr:from>
    <xdr:to>
      <xdr:col>13</xdr:col>
      <xdr:colOff>475350</xdr:colOff>
      <xdr:row>45</xdr:row>
      <xdr:rowOff>115041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4DBEF20-6488-43C3-CEAE-9C647E192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37754" y="5460636"/>
          <a:ext cx="2939246" cy="31761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299522</xdr:colOff>
      <xdr:row>10</xdr:row>
      <xdr:rowOff>50421</xdr:rowOff>
    </xdr:from>
    <xdr:to>
      <xdr:col>32</xdr:col>
      <xdr:colOff>386774</xdr:colOff>
      <xdr:row>24</xdr:row>
      <xdr:rowOff>105369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5E6E404-7B8C-6ECF-2735-034095B40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69910" y="1995762"/>
          <a:ext cx="9498922" cy="251419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122497</xdr:rowOff>
    </xdr:from>
    <xdr:to>
      <xdr:col>9</xdr:col>
      <xdr:colOff>622666</xdr:colOff>
      <xdr:row>51</xdr:row>
      <xdr:rowOff>82478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6B61B06-E8CC-12F2-6A89-A5CF1285B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82602" y="10236315"/>
          <a:ext cx="6477481" cy="4629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p.weixin.qq.com/s/IBvWDer71WeZ7M0Krcmm9A" TargetMode="External"/><Relationship Id="rId2" Type="http://schemas.openxmlformats.org/officeDocument/2006/relationships/hyperlink" Target="https://mp.weixin.qq.com/s/8TJyPkgyP0Z2LaZCBT5VTw" TargetMode="External"/><Relationship Id="rId1" Type="http://schemas.openxmlformats.org/officeDocument/2006/relationships/hyperlink" Target="https://mp.weixin.qq.com/s/fLrJ6WHs1FMN587dXfuk9Q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2AD2-29E8-488C-BD72-4606247BD6D5}">
  <dimension ref="A1:AF64"/>
  <sheetViews>
    <sheetView tabSelected="1" topLeftCell="O1" zoomScale="85" zoomScaleNormal="85" workbookViewId="0">
      <selection activeCell="AB5" sqref="AB5"/>
    </sheetView>
  </sheetViews>
  <sheetFormatPr defaultRowHeight="13.8" x14ac:dyDescent="0.5"/>
  <cols>
    <col min="1" max="1" width="14.3984375" style="2" customWidth="1"/>
    <col min="2" max="2" width="27.8984375" style="2" bestFit="1" customWidth="1"/>
    <col min="3" max="3" width="10.94921875" style="2" bestFit="1" customWidth="1"/>
    <col min="4" max="4" width="11.94921875" style="2" customWidth="1"/>
    <col min="5" max="5" width="15.796875" style="2" customWidth="1"/>
    <col min="6" max="7" width="8.796875" style="2"/>
    <col min="8" max="8" width="42.1484375" style="83" customWidth="1"/>
    <col min="9" max="9" width="8.84765625" style="2" customWidth="1"/>
    <col min="10" max="12" width="12.69921875" style="2" bestFit="1" customWidth="1"/>
    <col min="13" max="14" width="8.796875" style="2" customWidth="1"/>
    <col min="15" max="15" width="8.796875" style="83"/>
    <col min="16" max="21" width="8.796875" style="2"/>
    <col min="22" max="22" width="42.3984375" style="2" customWidth="1"/>
    <col min="23" max="23" width="9.34765625" style="2" bestFit="1" customWidth="1"/>
    <col min="24" max="27" width="8.796875" style="2"/>
    <col min="28" max="28" width="25.25" style="2" bestFit="1" customWidth="1"/>
    <col min="29" max="16384" width="8.796875" style="2"/>
  </cols>
  <sheetData>
    <row r="1" spans="1:32" ht="14.1" x14ac:dyDescent="0.5">
      <c r="A1" s="7" t="s">
        <v>334</v>
      </c>
      <c r="H1" s="79" t="s">
        <v>317</v>
      </c>
      <c r="I1" s="7"/>
      <c r="O1" s="79" t="s">
        <v>323</v>
      </c>
      <c r="V1" s="79" t="s">
        <v>382</v>
      </c>
      <c r="AB1" s="7"/>
    </row>
    <row r="2" spans="1:32" ht="14.1" x14ac:dyDescent="0.5">
      <c r="C2" s="52" t="s">
        <v>46</v>
      </c>
      <c r="D2" s="52" t="s">
        <v>47</v>
      </c>
      <c r="E2" s="52" t="s">
        <v>48</v>
      </c>
      <c r="H2" s="80" t="s">
        <v>315</v>
      </c>
      <c r="I2" s="52" t="s">
        <v>316</v>
      </c>
      <c r="J2" s="76" t="s">
        <v>309</v>
      </c>
      <c r="K2" s="76" t="s">
        <v>310</v>
      </c>
      <c r="L2" s="76" t="s">
        <v>311</v>
      </c>
      <c r="M2" s="1"/>
      <c r="N2" s="1"/>
      <c r="W2" s="14" t="s">
        <v>194</v>
      </c>
      <c r="Z2" s="7"/>
    </row>
    <row r="3" spans="1:32" ht="20.399999999999999" customHeight="1" x14ac:dyDescent="0.5">
      <c r="B3" s="57" t="s">
        <v>65</v>
      </c>
      <c r="H3" s="81" t="s">
        <v>329</v>
      </c>
      <c r="I3" s="9">
        <f>'Card to Transceiver'!C3</f>
        <v>0</v>
      </c>
      <c r="J3" s="9">
        <f>'Card to Transceiver'!D3</f>
        <v>5</v>
      </c>
      <c r="K3" s="9">
        <f>'Card to Transceiver'!E3</f>
        <v>0</v>
      </c>
      <c r="L3" s="9">
        <f>'Card to Transceiver'!F3</f>
        <v>0</v>
      </c>
      <c r="O3" s="84"/>
      <c r="P3" s="1"/>
      <c r="Q3" s="1"/>
      <c r="R3" s="1"/>
      <c r="S3" s="1"/>
      <c r="T3" s="1"/>
      <c r="V3" s="7" t="s">
        <v>378</v>
      </c>
      <c r="W3" s="42">
        <v>37332</v>
      </c>
      <c r="Z3" s="1"/>
      <c r="AA3" s="1"/>
      <c r="AC3" s="1"/>
      <c r="AD3" s="1"/>
      <c r="AE3" s="1"/>
      <c r="AF3" s="1"/>
    </row>
    <row r="4" spans="1:32" ht="14.1" x14ac:dyDescent="0.5">
      <c r="A4" s="2">
        <v>1</v>
      </c>
      <c r="B4" s="43" t="s">
        <v>0</v>
      </c>
      <c r="C4" s="69">
        <f>SUMPRODUCT($J$3:$J$8,J$17:J$22)</f>
        <v>7147.8000000000011</v>
      </c>
      <c r="D4" s="69">
        <f>SUMPRODUCT($J$3:$J$8,K$17:K$22)</f>
        <v>8160</v>
      </c>
      <c r="E4" s="69">
        <f>SUMPRODUCT($J$3:$J$8,L$17:L$22)</f>
        <v>3520</v>
      </c>
      <c r="H4" s="81" t="s">
        <v>328</v>
      </c>
      <c r="I4" s="9">
        <f>'Card to Transceiver'!C4</f>
        <v>0</v>
      </c>
      <c r="J4" s="9">
        <f>'Card to Transceiver'!D4</f>
        <v>3</v>
      </c>
      <c r="K4" s="9">
        <f>'Card to Transceiver'!E4</f>
        <v>0</v>
      </c>
      <c r="L4" s="9">
        <f>'Card to Transceiver'!F4</f>
        <v>0</v>
      </c>
      <c r="O4" s="85"/>
      <c r="P4" s="4"/>
      <c r="Q4" s="4"/>
      <c r="R4" s="4"/>
      <c r="S4" s="4"/>
      <c r="T4" s="4"/>
      <c r="V4" s="43" t="s">
        <v>379</v>
      </c>
      <c r="W4" s="86">
        <f>1-(0.3%+2.4%+3.3%+0.8%+0.3%+11.8%+0.5%+11.9%)</f>
        <v>0.68700000000000006</v>
      </c>
      <c r="Z4" s="4"/>
    </row>
    <row r="5" spans="1:32" ht="14.1" x14ac:dyDescent="0.5">
      <c r="A5" s="2">
        <v>2</v>
      </c>
      <c r="B5" s="43" t="s">
        <v>1</v>
      </c>
      <c r="C5" s="69">
        <f>SUMPRODUCT($K$3:$K$8,J$17:J$22)</f>
        <v>4674</v>
      </c>
      <c r="D5" s="69">
        <f>SUMPRODUCT($K$3:$K$8,K$17:K$22)</f>
        <v>17170</v>
      </c>
      <c r="E5" s="69">
        <f>SUMPRODUCT($K$3:$K$8,L$17:L$22)</f>
        <v>13112</v>
      </c>
      <c r="F5" s="88"/>
      <c r="H5" s="81" t="s">
        <v>330</v>
      </c>
      <c r="I5" s="9">
        <f>'Card to Transceiver'!C5</f>
        <v>1</v>
      </c>
      <c r="J5" s="9">
        <f>'Card to Transceiver'!D5</f>
        <v>3</v>
      </c>
      <c r="K5" s="9">
        <f>'Card to Transceiver'!E5</f>
        <v>0</v>
      </c>
      <c r="L5" s="9">
        <f>'Card to Transceiver'!F5</f>
        <v>0</v>
      </c>
      <c r="O5" s="85"/>
      <c r="P5" s="4"/>
      <c r="Q5" s="4"/>
      <c r="R5" s="4"/>
      <c r="S5" s="4"/>
      <c r="T5" s="4"/>
      <c r="V5" s="7" t="s">
        <v>381</v>
      </c>
      <c r="W5" s="92">
        <f>W3*W4/1000</f>
        <v>25.647084000000003</v>
      </c>
      <c r="Z5" s="4"/>
      <c r="AA5" s="4"/>
      <c r="AB5" s="4"/>
      <c r="AC5" s="4"/>
      <c r="AD5" s="4"/>
      <c r="AE5" s="4"/>
      <c r="AF5" s="4"/>
    </row>
    <row r="6" spans="1:32" ht="14.1" x14ac:dyDescent="0.5">
      <c r="A6" s="2">
        <v>4</v>
      </c>
      <c r="B6" s="43" t="s">
        <v>58</v>
      </c>
      <c r="C6" s="69">
        <f>SUMPRODUCT($L$3:$L$8,J$17:J$22)</f>
        <v>0</v>
      </c>
      <c r="D6" s="69">
        <f>SUMPRODUCT($L$3:$L$8,K$17:K$22)</f>
        <v>0</v>
      </c>
      <c r="E6" s="69">
        <f>SUMPRODUCT($L$3:$L$8,L$17:L$22)</f>
        <v>9108</v>
      </c>
      <c r="H6" s="81" t="s">
        <v>327</v>
      </c>
      <c r="I6" s="9">
        <f>'Card to Transceiver'!C6</f>
        <v>0</v>
      </c>
      <c r="J6" s="9">
        <f>'Card to Transceiver'!D6</f>
        <v>1</v>
      </c>
      <c r="K6" s="9">
        <f>'Card to Transceiver'!E6</f>
        <v>2.5</v>
      </c>
      <c r="L6" s="9">
        <f>'Card to Transceiver'!F6</f>
        <v>0</v>
      </c>
      <c r="O6" s="85"/>
      <c r="P6" s="4"/>
      <c r="Q6" s="4"/>
      <c r="R6" s="4"/>
      <c r="S6" s="4"/>
      <c r="T6" s="4"/>
      <c r="V6" s="106" t="s">
        <v>380</v>
      </c>
      <c r="W6" s="2">
        <f>0.5+6+9.5</f>
        <v>16</v>
      </c>
      <c r="Z6" s="4"/>
      <c r="AA6" s="4"/>
      <c r="AB6" s="4"/>
      <c r="AC6" s="4"/>
      <c r="AD6" s="4"/>
      <c r="AE6" s="4"/>
      <c r="AF6" s="4"/>
    </row>
    <row r="7" spans="1:32" ht="14.1" x14ac:dyDescent="0.5">
      <c r="B7" s="57" t="s">
        <v>304</v>
      </c>
      <c r="C7" s="42"/>
      <c r="D7" s="42"/>
      <c r="E7" s="42"/>
      <c r="H7" s="81" t="s">
        <v>325</v>
      </c>
      <c r="I7" s="9">
        <f>'Card to Transceiver'!C7</f>
        <v>0</v>
      </c>
      <c r="J7" s="9">
        <f>'Card to Transceiver'!D7</f>
        <v>2</v>
      </c>
      <c r="K7" s="9">
        <f>'Card to Transceiver'!E7</f>
        <v>4</v>
      </c>
      <c r="L7" s="9">
        <f>'Card to Transceiver'!F7</f>
        <v>0</v>
      </c>
      <c r="V7" s="7" t="s">
        <v>384</v>
      </c>
      <c r="W7" s="92">
        <f>SUM(W5:W6)</f>
        <v>41.647084000000007</v>
      </c>
    </row>
    <row r="8" spans="1:32" ht="14.1" x14ac:dyDescent="0.5">
      <c r="B8" s="43" t="s">
        <v>0</v>
      </c>
      <c r="C8" s="42">
        <f t="shared" ref="C8:E10" si="0">J$26 * J10</f>
        <v>8756</v>
      </c>
      <c r="D8" s="42">
        <f t="shared" si="0"/>
        <v>5473</v>
      </c>
      <c r="E8" s="42">
        <f t="shared" si="0"/>
        <v>0</v>
      </c>
      <c r="H8" s="81" t="s">
        <v>326</v>
      </c>
      <c r="I8" s="9">
        <f>'Card to Transceiver'!C8</f>
        <v>0</v>
      </c>
      <c r="J8" s="9">
        <f>'Card to Transceiver'!D8</f>
        <v>0</v>
      </c>
      <c r="K8" s="9">
        <f>'Card to Transceiver'!E8</f>
        <v>2</v>
      </c>
      <c r="L8" s="9">
        <f>'Card to Transceiver'!F8</f>
        <v>3</v>
      </c>
      <c r="V8" s="7" t="s">
        <v>383</v>
      </c>
      <c r="W8" s="86">
        <v>0.1</v>
      </c>
    </row>
    <row r="9" spans="1:32" ht="14.1" x14ac:dyDescent="0.5">
      <c r="B9" s="43" t="s">
        <v>1</v>
      </c>
      <c r="C9" s="42">
        <f t="shared" si="0"/>
        <v>6567</v>
      </c>
      <c r="D9" s="42">
        <f t="shared" si="0"/>
        <v>10946</v>
      </c>
      <c r="E9" s="42">
        <f t="shared" si="0"/>
        <v>18879</v>
      </c>
      <c r="H9" s="80" t="s">
        <v>307</v>
      </c>
      <c r="I9" s="52" t="s">
        <v>320</v>
      </c>
      <c r="J9" s="52" t="s">
        <v>46</v>
      </c>
      <c r="K9" s="52" t="s">
        <v>47</v>
      </c>
      <c r="L9" s="52" t="s">
        <v>48</v>
      </c>
      <c r="V9" s="7" t="s">
        <v>385</v>
      </c>
      <c r="W9" s="59">
        <f>W7*W8</f>
        <v>4.1647084000000012</v>
      </c>
    </row>
    <row r="10" spans="1:32" ht="14.1" x14ac:dyDescent="0.5">
      <c r="B10" s="43" t="s">
        <v>58</v>
      </c>
      <c r="C10" s="42">
        <f t="shared" si="0"/>
        <v>0</v>
      </c>
      <c r="D10" s="42">
        <f t="shared" si="0"/>
        <v>5473</v>
      </c>
      <c r="E10" s="42">
        <f t="shared" si="0"/>
        <v>12586</v>
      </c>
      <c r="H10" s="82" t="s">
        <v>309</v>
      </c>
      <c r="I10" s="87">
        <f>'Card to Transceiver'!C17</f>
        <v>3</v>
      </c>
      <c r="J10" s="87">
        <f>'Card to Transceiver'!D17</f>
        <v>2</v>
      </c>
      <c r="K10" s="87">
        <f>'Card to Transceiver'!E17</f>
        <v>1</v>
      </c>
      <c r="L10" s="87">
        <f>'Card to Transceiver'!F17</f>
        <v>0</v>
      </c>
    </row>
    <row r="11" spans="1:32" ht="14.1" x14ac:dyDescent="0.5">
      <c r="H11" s="82" t="s">
        <v>310</v>
      </c>
      <c r="I11" s="87">
        <f>'Card to Transceiver'!C18</f>
        <v>0</v>
      </c>
      <c r="J11" s="87">
        <f>'Card to Transceiver'!D18</f>
        <v>1.5</v>
      </c>
      <c r="K11" s="87">
        <f>'Card to Transceiver'!E18</f>
        <v>2</v>
      </c>
      <c r="L11" s="87">
        <f>'Card to Transceiver'!F18</f>
        <v>3</v>
      </c>
    </row>
    <row r="12" spans="1:32" ht="14.1" x14ac:dyDescent="0.5">
      <c r="B12" s="57" t="s">
        <v>341</v>
      </c>
      <c r="C12" s="52" t="s">
        <v>46</v>
      </c>
      <c r="D12" s="52" t="s">
        <v>47</v>
      </c>
      <c r="E12" s="52" t="s">
        <v>48</v>
      </c>
      <c r="H12" s="82" t="s">
        <v>311</v>
      </c>
      <c r="I12" s="87">
        <f>'Card to Transceiver'!C19</f>
        <v>0</v>
      </c>
      <c r="J12" s="87">
        <f>'Card to Transceiver'!D19</f>
        <v>0</v>
      </c>
      <c r="K12" s="87">
        <f>'Card to Transceiver'!E19</f>
        <v>1</v>
      </c>
      <c r="L12" s="87">
        <f>'Card to Transceiver'!F19</f>
        <v>2</v>
      </c>
    </row>
    <row r="13" spans="1:32" ht="14.1" x14ac:dyDescent="0.5">
      <c r="B13" s="43" t="s">
        <v>0</v>
      </c>
      <c r="C13" s="88">
        <f>SUM(C4,C8) / 1000</f>
        <v>15.9038</v>
      </c>
      <c r="D13" s="88">
        <f t="shared" ref="D13:E13" si="1">SUM(D4,D8) / 1000</f>
        <v>13.632999999999999</v>
      </c>
      <c r="E13" s="88">
        <f t="shared" si="1"/>
        <v>3.52</v>
      </c>
      <c r="H13" s="81"/>
      <c r="I13" s="68"/>
      <c r="J13" s="68"/>
      <c r="K13" s="68"/>
      <c r="L13" s="68"/>
    </row>
    <row r="14" spans="1:32" ht="14.1" x14ac:dyDescent="0.5">
      <c r="B14" s="43" t="s">
        <v>1</v>
      </c>
      <c r="C14" s="88">
        <f t="shared" ref="C14:E14" si="2">SUM(C5,C9) / 1000</f>
        <v>11.241</v>
      </c>
      <c r="D14" s="88">
        <f t="shared" si="2"/>
        <v>28.116</v>
      </c>
      <c r="E14" s="88">
        <f t="shared" si="2"/>
        <v>31.991</v>
      </c>
    </row>
    <row r="15" spans="1:32" ht="14.1" x14ac:dyDescent="0.5">
      <c r="B15" s="43" t="s">
        <v>58</v>
      </c>
      <c r="C15" s="88">
        <f t="shared" ref="C15:E15" si="3">SUM(C6,C10) / 1000</f>
        <v>0</v>
      </c>
      <c r="D15" s="88">
        <f t="shared" si="3"/>
        <v>5.4729999999999999</v>
      </c>
      <c r="E15" s="88">
        <f t="shared" si="3"/>
        <v>21.693999999999999</v>
      </c>
      <c r="H15" s="79" t="s">
        <v>319</v>
      </c>
    </row>
    <row r="16" spans="1:32" ht="14.1" x14ac:dyDescent="0.5">
      <c r="H16" s="80" t="s">
        <v>322</v>
      </c>
      <c r="I16" s="52" t="s">
        <v>320</v>
      </c>
      <c r="J16" s="52" t="s">
        <v>46</v>
      </c>
      <c r="K16" s="52" t="s">
        <v>47</v>
      </c>
      <c r="L16" s="52" t="s">
        <v>48</v>
      </c>
    </row>
    <row r="17" spans="1:12" ht="14.1" x14ac:dyDescent="0.5">
      <c r="A17" s="7" t="s">
        <v>335</v>
      </c>
      <c r="H17" s="81" t="s">
        <v>329</v>
      </c>
      <c r="I17" s="9" t="s">
        <v>321</v>
      </c>
      <c r="J17" s="97">
        <f>'GPU pipeline'!C3</f>
        <v>0</v>
      </c>
      <c r="K17" s="97">
        <f>'GPU pipeline'!D3</f>
        <v>0</v>
      </c>
      <c r="L17" s="97">
        <f>'GPU pipeline'!E3</f>
        <v>0</v>
      </c>
    </row>
    <row r="18" spans="1:12" ht="14.1" x14ac:dyDescent="0.5">
      <c r="C18" s="52" t="s">
        <v>46</v>
      </c>
      <c r="D18" s="52" t="s">
        <v>47</v>
      </c>
      <c r="E18" s="52" t="s">
        <v>48</v>
      </c>
      <c r="H18" s="81" t="s">
        <v>328</v>
      </c>
      <c r="I18" s="9" t="s">
        <v>321</v>
      </c>
      <c r="J18" s="97">
        <f>'GPU pipeline'!C4</f>
        <v>150</v>
      </c>
      <c r="K18" s="97">
        <f>'GPU pipeline'!D4</f>
        <v>0</v>
      </c>
      <c r="L18" s="97">
        <f>'GPU pipeline'!E4</f>
        <v>0</v>
      </c>
    </row>
    <row r="19" spans="1:12" ht="14.1" x14ac:dyDescent="0.5">
      <c r="B19" s="43" t="s">
        <v>0</v>
      </c>
      <c r="C19" s="89">
        <v>0.01</v>
      </c>
      <c r="D19" s="89">
        <v>0.05</v>
      </c>
      <c r="E19" s="89">
        <v>0.01</v>
      </c>
      <c r="H19" s="81" t="s">
        <v>330</v>
      </c>
      <c r="I19" s="9" t="s">
        <v>321</v>
      </c>
      <c r="J19" s="97">
        <f>'GPU pipeline'!C5</f>
        <v>1609.4</v>
      </c>
      <c r="K19" s="97">
        <f>'GPU pipeline'!D5</f>
        <v>0</v>
      </c>
      <c r="L19" s="97">
        <f>'GPU pipeline'!E5</f>
        <v>0</v>
      </c>
    </row>
    <row r="20" spans="1:12" ht="14.1" x14ac:dyDescent="0.5">
      <c r="B20" s="43" t="s">
        <v>1</v>
      </c>
      <c r="C20" s="89">
        <v>0.02</v>
      </c>
      <c r="D20" s="89">
        <v>0.04</v>
      </c>
      <c r="E20" s="89">
        <v>0.08</v>
      </c>
      <c r="H20" s="81" t="s">
        <v>327</v>
      </c>
      <c r="I20" s="9" t="s">
        <v>321</v>
      </c>
      <c r="J20" s="97">
        <f>'GPU pipeline'!C6</f>
        <v>1869.6</v>
      </c>
      <c r="K20" s="97">
        <f>'GPU pipeline'!D6</f>
        <v>1700</v>
      </c>
      <c r="L20" s="97">
        <f>'GPU pipeline'!E6</f>
        <v>0</v>
      </c>
    </row>
    <row r="21" spans="1:12" ht="14.1" x14ac:dyDescent="0.5">
      <c r="B21" s="43" t="s">
        <v>58</v>
      </c>
      <c r="C21" s="90">
        <v>0</v>
      </c>
      <c r="D21" s="89">
        <v>0.03</v>
      </c>
      <c r="E21" s="89">
        <v>0.15</v>
      </c>
      <c r="H21" s="81" t="s">
        <v>325</v>
      </c>
      <c r="I21" s="9" t="s">
        <v>321</v>
      </c>
      <c r="J21" s="97">
        <f>'GPU pipeline'!C7</f>
        <v>0</v>
      </c>
      <c r="K21" s="97">
        <f>'GPU pipeline'!D7</f>
        <v>3230</v>
      </c>
      <c r="L21" s="97">
        <f>'GPU pipeline'!E7</f>
        <v>1760</v>
      </c>
    </row>
    <row r="22" spans="1:12" ht="14.1" x14ac:dyDescent="0.5">
      <c r="H22" s="81" t="s">
        <v>326</v>
      </c>
      <c r="I22" s="9" t="s">
        <v>321</v>
      </c>
      <c r="J22" s="97">
        <f>'GPU pipeline'!C8</f>
        <v>0</v>
      </c>
      <c r="K22" s="97">
        <f>'GPU pipeline'!D8</f>
        <v>0</v>
      </c>
      <c r="L22" s="97">
        <f>'GPU pipeline'!E8</f>
        <v>3036</v>
      </c>
    </row>
    <row r="23" spans="1:12" ht="14.1" x14ac:dyDescent="0.5">
      <c r="A23" s="7" t="s">
        <v>339</v>
      </c>
      <c r="C23" s="52" t="s">
        <v>46</v>
      </c>
      <c r="D23" s="52" t="s">
        <v>47</v>
      </c>
      <c r="E23" s="52" t="s">
        <v>48</v>
      </c>
      <c r="H23" s="79" t="s">
        <v>353</v>
      </c>
      <c r="J23" s="97">
        <f>'GPU pipeline'!C9</f>
        <v>3629</v>
      </c>
      <c r="K23" s="97">
        <f>'GPU pipeline'!D9</f>
        <v>4930</v>
      </c>
      <c r="L23" s="97">
        <f>'GPU pipeline'!E9</f>
        <v>4796</v>
      </c>
    </row>
    <row r="24" spans="1:12" ht="14.1" x14ac:dyDescent="0.5">
      <c r="B24" s="43" t="s">
        <v>0</v>
      </c>
      <c r="C24" s="2">
        <v>500</v>
      </c>
      <c r="D24" s="2">
        <f>C24*0.7</f>
        <v>350</v>
      </c>
      <c r="E24" s="2">
        <f>D24*0.8</f>
        <v>280</v>
      </c>
      <c r="H24" s="79" t="s">
        <v>318</v>
      </c>
    </row>
    <row r="25" spans="1:12" ht="14.1" x14ac:dyDescent="0.5">
      <c r="B25" s="43" t="s">
        <v>1</v>
      </c>
      <c r="C25" s="2">
        <v>1000</v>
      </c>
      <c r="D25" s="2">
        <f t="shared" ref="D25:D26" si="4">C25*0.7</f>
        <v>700</v>
      </c>
      <c r="E25" s="2">
        <f t="shared" ref="E25:E26" si="5">D25*0.8</f>
        <v>560</v>
      </c>
      <c r="H25" s="80" t="s">
        <v>357</v>
      </c>
      <c r="I25" s="52" t="s">
        <v>320</v>
      </c>
      <c r="J25" s="52" t="s">
        <v>46</v>
      </c>
      <c r="K25" s="52" t="s">
        <v>47</v>
      </c>
      <c r="L25" s="52" t="s">
        <v>48</v>
      </c>
    </row>
    <row r="26" spans="1:12" ht="14.1" x14ac:dyDescent="0.5">
      <c r="B26" s="43" t="s">
        <v>58</v>
      </c>
      <c r="C26" s="2">
        <v>2000</v>
      </c>
      <c r="D26" s="2">
        <f t="shared" si="4"/>
        <v>1400</v>
      </c>
      <c r="E26" s="2">
        <f t="shared" si="5"/>
        <v>1120</v>
      </c>
      <c r="H26" s="43" t="s">
        <v>197</v>
      </c>
      <c r="I26" s="9" t="s">
        <v>321</v>
      </c>
      <c r="J26" s="98">
        <f>'ASIC pipeline'!C8</f>
        <v>4378</v>
      </c>
      <c r="K26" s="98">
        <f>'ASIC pipeline'!D8</f>
        <v>5473</v>
      </c>
      <c r="L26" s="98">
        <f>'ASIC pipeline'!E8</f>
        <v>6293</v>
      </c>
    </row>
    <row r="27" spans="1:12" ht="14.1" x14ac:dyDescent="0.5">
      <c r="B27" s="43"/>
      <c r="H27" s="81"/>
      <c r="I27" s="9"/>
      <c r="J27" s="77"/>
      <c r="K27" s="77"/>
      <c r="L27" s="77"/>
    </row>
    <row r="28" spans="1:12" ht="14.1" x14ac:dyDescent="0.5">
      <c r="A28" s="7" t="s">
        <v>347</v>
      </c>
      <c r="B28" s="43"/>
      <c r="C28" s="93" t="s">
        <v>46</v>
      </c>
      <c r="D28" s="93" t="s">
        <v>47</v>
      </c>
      <c r="E28" s="93" t="s">
        <v>48</v>
      </c>
      <c r="H28" s="81"/>
      <c r="I28" s="9"/>
      <c r="J28" s="77"/>
      <c r="K28" s="77"/>
      <c r="L28" s="77"/>
    </row>
    <row r="29" spans="1:12" ht="14.1" x14ac:dyDescent="0.5">
      <c r="B29" s="43" t="s">
        <v>0</v>
      </c>
      <c r="C29" s="92">
        <f>ROUND(100000/144 * 0.85/100, 0) * 100</f>
        <v>600</v>
      </c>
      <c r="D29" s="92">
        <f>ROUND(C29*0.7, 0)</f>
        <v>420</v>
      </c>
      <c r="E29" s="92">
        <f>ROUND(D29*0.8/100, 1)*100</f>
        <v>340</v>
      </c>
      <c r="H29" s="81"/>
      <c r="I29" s="9"/>
      <c r="J29" s="77"/>
      <c r="K29" s="77"/>
      <c r="L29" s="77"/>
    </row>
    <row r="30" spans="1:12" ht="14.1" x14ac:dyDescent="0.5">
      <c r="B30" s="43" t="s">
        <v>1</v>
      </c>
      <c r="C30" s="92">
        <f>C29*2</f>
        <v>1200</v>
      </c>
      <c r="D30" s="92">
        <f t="shared" ref="D30:D31" si="6">ROUND(C30*0.7, 0)</f>
        <v>840</v>
      </c>
      <c r="E30" s="92">
        <f t="shared" ref="E30" si="7">ROUND(D30*0.8/100, 1)*100</f>
        <v>670</v>
      </c>
      <c r="H30" s="81"/>
      <c r="I30" s="9"/>
      <c r="J30" s="77"/>
      <c r="K30" s="77"/>
      <c r="L30" s="77"/>
    </row>
    <row r="31" spans="1:12" ht="14.1" x14ac:dyDescent="0.5">
      <c r="B31" s="43" t="s">
        <v>58</v>
      </c>
      <c r="C31" s="92">
        <f>C30*2</f>
        <v>2400</v>
      </c>
      <c r="D31" s="92">
        <f t="shared" si="6"/>
        <v>1680</v>
      </c>
      <c r="E31" s="92">
        <f>ROUND(D31*0.8/100, 1)*100</f>
        <v>1340</v>
      </c>
    </row>
    <row r="33" spans="1:7" ht="14.1" x14ac:dyDescent="0.5">
      <c r="A33" s="7" t="s">
        <v>340</v>
      </c>
    </row>
    <row r="34" spans="1:7" ht="14.1" x14ac:dyDescent="0.5">
      <c r="C34" s="52" t="s">
        <v>46</v>
      </c>
      <c r="D34" s="52" t="s">
        <v>47</v>
      </c>
      <c r="E34" s="52" t="s">
        <v>48</v>
      </c>
    </row>
    <row r="35" spans="1:7" ht="14.1" x14ac:dyDescent="0.5">
      <c r="B35" s="7" t="s">
        <v>342</v>
      </c>
      <c r="C35" s="47">
        <f>SUMPRODUCT(C13:C15,C19:C21)</f>
        <v>0.38385800000000003</v>
      </c>
      <c r="D35" s="47">
        <f>SUMPRODUCT(D13:D15,D19:D21)</f>
        <v>1.9704800000000002</v>
      </c>
      <c r="E35" s="47">
        <f>SUMPRODUCT(E13:E15,E19:E21)</f>
        <v>5.8485800000000001</v>
      </c>
    </row>
    <row r="36" spans="1:7" ht="14.1" x14ac:dyDescent="0.5">
      <c r="B36" s="43" t="s">
        <v>337</v>
      </c>
      <c r="C36" s="101">
        <f>C35/SUM(C13:C15)</f>
        <v>1.4141124635289265E-2</v>
      </c>
      <c r="D36" s="101">
        <f>D35/SUM(D13:D15)</f>
        <v>4.1728008131802982E-2</v>
      </c>
      <c r="E36" s="101">
        <f>E35/SUM(E13:E15)</f>
        <v>0.1022389651254261</v>
      </c>
      <c r="F36" s="47" t="s">
        <v>358</v>
      </c>
      <c r="G36" s="47"/>
    </row>
    <row r="37" spans="1:7" ht="14.1" x14ac:dyDescent="0.5">
      <c r="B37" s="7" t="s">
        <v>343</v>
      </c>
      <c r="F37" s="47"/>
      <c r="G37" s="47"/>
    </row>
    <row r="38" spans="1:7" ht="14.1" x14ac:dyDescent="0.5">
      <c r="B38" s="43" t="s">
        <v>0</v>
      </c>
      <c r="C38" s="88">
        <f>C13*C19*C29 / 1000</f>
        <v>9.5422800000000016E-2</v>
      </c>
      <c r="D38" s="88">
        <f t="shared" ref="D38:E38" si="8">D13*D19*D29 / 1000</f>
        <v>0.28629300000000002</v>
      </c>
      <c r="E38" s="88">
        <f t="shared" si="8"/>
        <v>1.1967999999999999E-2</v>
      </c>
    </row>
    <row r="39" spans="1:7" ht="14.1" x14ac:dyDescent="0.5">
      <c r="B39" s="43" t="s">
        <v>1</v>
      </c>
      <c r="C39" s="88">
        <f t="shared" ref="C39:E39" si="9">C14*C20*C30 / 1000</f>
        <v>0.26978399999999997</v>
      </c>
      <c r="D39" s="88">
        <f t="shared" si="9"/>
        <v>0.94469760000000003</v>
      </c>
      <c r="E39" s="88">
        <f t="shared" si="9"/>
        <v>1.7147176000000002</v>
      </c>
    </row>
    <row r="40" spans="1:7" ht="14.1" x14ac:dyDescent="0.5">
      <c r="B40" s="43" t="s">
        <v>58</v>
      </c>
      <c r="C40" s="88">
        <f t="shared" ref="C40:E40" si="10">C15*C21*C31 / 1000</f>
        <v>0</v>
      </c>
      <c r="D40" s="88">
        <f t="shared" si="10"/>
        <v>0.27583920000000001</v>
      </c>
      <c r="E40" s="88">
        <f t="shared" si="10"/>
        <v>4.3604940000000001</v>
      </c>
    </row>
    <row r="41" spans="1:7" ht="14.1" x14ac:dyDescent="0.5">
      <c r="B41" s="7" t="s">
        <v>338</v>
      </c>
      <c r="C41" s="94">
        <f>SUM(C38:C40)</f>
        <v>0.3652068</v>
      </c>
      <c r="D41" s="94">
        <f t="shared" ref="D41:E41" si="11">SUM(D38:D40)</f>
        <v>1.5068298000000002</v>
      </c>
      <c r="E41" s="94">
        <f t="shared" si="11"/>
        <v>6.0871796000000007</v>
      </c>
    </row>
    <row r="42" spans="1:7" x14ac:dyDescent="0.5">
      <c r="B42" s="44" t="s">
        <v>336</v>
      </c>
      <c r="D42" s="86">
        <f>D41/C41-1</f>
        <v>3.125963152931436</v>
      </c>
      <c r="E42" s="86">
        <f>E41/D41-1</f>
        <v>3.0397260526703151</v>
      </c>
    </row>
    <row r="43" spans="1:7" ht="14.1" x14ac:dyDescent="0.5">
      <c r="B43" s="7" t="s">
        <v>368</v>
      </c>
      <c r="C43" s="92">
        <f>C41*1000/C35</f>
        <v>951.41119893293865</v>
      </c>
      <c r="D43" s="92">
        <f t="shared" ref="D43" si="12">D41*1000/D35</f>
        <v>764.70190004465917</v>
      </c>
      <c r="E43" s="92">
        <f>E41*1000/E35</f>
        <v>1040.7961590676712</v>
      </c>
    </row>
    <row r="45" spans="1:7" ht="14.1" x14ac:dyDescent="0.5">
      <c r="A45" s="7" t="s">
        <v>344</v>
      </c>
    </row>
    <row r="46" spans="1:7" ht="14.1" x14ac:dyDescent="0.5">
      <c r="C46" s="52" t="s">
        <v>46</v>
      </c>
      <c r="D46" s="52" t="s">
        <v>47</v>
      </c>
      <c r="E46" s="52" t="s">
        <v>48</v>
      </c>
    </row>
    <row r="47" spans="1:7" ht="14.1" x14ac:dyDescent="0.5">
      <c r="B47" s="57" t="s">
        <v>345</v>
      </c>
      <c r="C47" s="91">
        <f>SUM(C4:C6)/SUM(J17:J22)</f>
        <v>3.2575916230366495</v>
      </c>
      <c r="D47" s="91">
        <f t="shared" ref="D47:E47" si="13">SUM(D4:D6)/SUM(K17:K22)</f>
        <v>5.1379310344827589</v>
      </c>
      <c r="E47" s="91">
        <f t="shared" si="13"/>
        <v>5.3669724770642198</v>
      </c>
    </row>
    <row r="48" spans="1:7" ht="14.1" x14ac:dyDescent="0.5">
      <c r="B48" s="57" t="s">
        <v>346</v>
      </c>
      <c r="C48" s="91">
        <f>SUM(C8:C10)/J26</f>
        <v>3.5</v>
      </c>
      <c r="D48" s="91">
        <f>SUM(D8:D10)/K26</f>
        <v>4</v>
      </c>
      <c r="E48" s="91">
        <f>SUM(E8:E10)/L26</f>
        <v>5</v>
      </c>
    </row>
    <row r="49" spans="1:5" ht="14.1" x14ac:dyDescent="0.5">
      <c r="A49" s="7" t="s">
        <v>359</v>
      </c>
      <c r="C49" s="52" t="s">
        <v>46</v>
      </c>
      <c r="D49" s="52" t="s">
        <v>47</v>
      </c>
      <c r="E49" s="52" t="s">
        <v>48</v>
      </c>
    </row>
    <row r="50" spans="1:5" ht="14.1" x14ac:dyDescent="0.5">
      <c r="B50" s="57" t="s">
        <v>345</v>
      </c>
      <c r="C50" s="88">
        <f>SUMPRODUCT($A$4:$A$6,C4:C6)/J23</f>
        <v>4.5455497382198962</v>
      </c>
      <c r="D50" s="88">
        <f t="shared" ref="D50:E50" si="14">SUMPRODUCT($A$4:$A$6,D4:D6)/K23</f>
        <v>8.6206896551724146</v>
      </c>
      <c r="E50" s="88">
        <f t="shared" si="14"/>
        <v>13.79816513761468</v>
      </c>
    </row>
    <row r="51" spans="1:5" ht="14.1" x14ac:dyDescent="0.5">
      <c r="B51" s="57" t="s">
        <v>346</v>
      </c>
      <c r="C51" s="96">
        <f>SUMPRODUCT($A$4:$A$6,C8:C10)/J26</f>
        <v>5</v>
      </c>
      <c r="D51" s="96">
        <f>SUMPRODUCT($A$4:$A$6,D8:D10)/K26</f>
        <v>9</v>
      </c>
      <c r="E51" s="96">
        <f>SUMPRODUCT($A$4:$A$6,E8:E10)/L26</f>
        <v>14</v>
      </c>
    </row>
    <row r="53" spans="1:5" ht="14.1" x14ac:dyDescent="0.5">
      <c r="A53" s="7" t="s">
        <v>179</v>
      </c>
      <c r="C53" s="52" t="s">
        <v>46</v>
      </c>
      <c r="D53" s="52" t="s">
        <v>47</v>
      </c>
      <c r="E53" s="52" t="s">
        <v>48</v>
      </c>
    </row>
    <row r="54" spans="1:5" ht="14.1" x14ac:dyDescent="0.5">
      <c r="B54" s="7" t="s">
        <v>362</v>
      </c>
      <c r="C54" s="88">
        <f>SUM(C13:C15)</f>
        <v>27.1448</v>
      </c>
      <c r="D54" s="88">
        <f t="shared" ref="D54:E54" si="15">SUM(D13:D15)</f>
        <v>47.221999999999994</v>
      </c>
      <c r="E54" s="88">
        <f t="shared" si="15"/>
        <v>57.204999999999998</v>
      </c>
    </row>
    <row r="55" spans="1:5" ht="14.1" x14ac:dyDescent="0.5">
      <c r="B55" s="43" t="s">
        <v>363</v>
      </c>
      <c r="C55" s="88">
        <f>SUM(C4:C6) / 1000</f>
        <v>11.821800000000001</v>
      </c>
      <c r="D55" s="88">
        <f t="shared" ref="D55:E55" si="16">SUM(D4:D6) / 1000</f>
        <v>25.33</v>
      </c>
      <c r="E55" s="88">
        <f t="shared" si="16"/>
        <v>25.74</v>
      </c>
    </row>
    <row r="56" spans="1:5" ht="14.1" x14ac:dyDescent="0.5">
      <c r="B56" s="100" t="s">
        <v>364</v>
      </c>
      <c r="C56" s="88">
        <f>J23/1000</f>
        <v>3.629</v>
      </c>
      <c r="D56" s="88">
        <f t="shared" ref="D56:E56" si="17">K23/1000</f>
        <v>4.93</v>
      </c>
      <c r="E56" s="88">
        <f t="shared" si="17"/>
        <v>4.7960000000000003</v>
      </c>
    </row>
    <row r="57" spans="1:5" ht="14.1" x14ac:dyDescent="0.5">
      <c r="B57" s="100" t="s">
        <v>361</v>
      </c>
      <c r="C57" s="88">
        <f>C55/C56</f>
        <v>3.2575916230366495</v>
      </c>
      <c r="D57" s="88">
        <f t="shared" ref="D57:E57" si="18">D55/D56</f>
        <v>5.1379310344827589</v>
      </c>
      <c r="E57" s="88">
        <f t="shared" si="18"/>
        <v>5.3669724770642198</v>
      </c>
    </row>
    <row r="58" spans="1:5" ht="14.1" x14ac:dyDescent="0.5">
      <c r="B58" s="43" t="s">
        <v>365</v>
      </c>
      <c r="C58" s="88">
        <f>SUM(C8:C10)/1000</f>
        <v>15.323</v>
      </c>
      <c r="D58" s="88">
        <f t="shared" ref="D58:E58" si="19">SUM(D8:D10)/1000</f>
        <v>21.891999999999999</v>
      </c>
      <c r="E58" s="88">
        <f t="shared" si="19"/>
        <v>31.465</v>
      </c>
    </row>
    <row r="59" spans="1:5" ht="14.1" x14ac:dyDescent="0.5">
      <c r="B59" s="100" t="s">
        <v>366</v>
      </c>
      <c r="C59" s="88">
        <f>J26/1000</f>
        <v>4.3780000000000001</v>
      </c>
      <c r="D59" s="88">
        <f>K26/1000</f>
        <v>5.4729999999999999</v>
      </c>
      <c r="E59" s="88">
        <f>L26/1000</f>
        <v>6.2930000000000001</v>
      </c>
    </row>
    <row r="60" spans="1:5" ht="14.1" x14ac:dyDescent="0.5">
      <c r="B60" s="100" t="s">
        <v>360</v>
      </c>
      <c r="C60" s="88">
        <f>C58/C59</f>
        <v>3.5</v>
      </c>
      <c r="D60" s="88">
        <f t="shared" ref="D60:E60" si="20">D58/D59</f>
        <v>4</v>
      </c>
      <c r="E60" s="88">
        <f t="shared" si="20"/>
        <v>5</v>
      </c>
    </row>
    <row r="61" spans="1:5" ht="14.1" x14ac:dyDescent="0.5">
      <c r="B61" s="7" t="s">
        <v>337</v>
      </c>
      <c r="C61" s="86">
        <f>C35/C54</f>
        <v>1.4141124635289265E-2</v>
      </c>
      <c r="D61" s="86">
        <f t="shared" ref="D61:E61" si="21">D35/D54</f>
        <v>4.1728008131802982E-2</v>
      </c>
      <c r="E61" s="86">
        <f t="shared" si="21"/>
        <v>0.1022389651254261</v>
      </c>
    </row>
    <row r="62" spans="1:5" ht="14.1" x14ac:dyDescent="0.5">
      <c r="B62" s="7" t="s">
        <v>368</v>
      </c>
      <c r="C62" s="47">
        <f>C41*1000/C35</f>
        <v>951.41119893293865</v>
      </c>
      <c r="D62" s="47">
        <f t="shared" ref="D62:E62" si="22">D41*1000/D35</f>
        <v>764.70190004465917</v>
      </c>
      <c r="E62" s="47">
        <f t="shared" si="22"/>
        <v>1040.7961590676712</v>
      </c>
    </row>
    <row r="63" spans="1:5" ht="14.1" x14ac:dyDescent="0.5">
      <c r="B63" s="7" t="s">
        <v>367</v>
      </c>
      <c r="C63" s="94">
        <f>C54*C61*C62/1000</f>
        <v>0.3652068</v>
      </c>
      <c r="D63" s="94">
        <f t="shared" ref="D63" si="23">D54*D61*D62/1000</f>
        <v>1.5068298000000002</v>
      </c>
      <c r="E63" s="94">
        <f>E54*E61*E62/1000</f>
        <v>6.0871796000000007</v>
      </c>
    </row>
    <row r="64" spans="1:5" x14ac:dyDescent="0.5">
      <c r="B64" s="44" t="s">
        <v>336</v>
      </c>
      <c r="D64" s="86">
        <f>D63/C63-1</f>
        <v>3.125963152931436</v>
      </c>
      <c r="E64" s="86">
        <f>E63/D63-1</f>
        <v>3.0397260526703151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81E4-C58F-4AC4-8E51-449C516070D5}">
  <dimension ref="A1:AG63"/>
  <sheetViews>
    <sheetView topLeftCell="A11" zoomScale="130" zoomScaleNormal="130" workbookViewId="0">
      <selection activeCell="H14" sqref="H14"/>
    </sheetView>
  </sheetViews>
  <sheetFormatPr defaultRowHeight="13.8" x14ac:dyDescent="0.5"/>
  <cols>
    <col min="1" max="1" width="21.94921875" style="2" customWidth="1"/>
    <col min="2" max="2" width="34.1484375" style="35" bestFit="1" customWidth="1"/>
    <col min="3" max="3" width="12.1484375" style="2" customWidth="1"/>
    <col min="4" max="4" width="11.75" style="2" customWidth="1"/>
    <col min="5" max="6" width="13.796875" style="2" bestFit="1" customWidth="1"/>
    <col min="7" max="7" width="8.796875" style="2"/>
    <col min="8" max="8" width="51.84765625" style="2" customWidth="1"/>
    <col min="9" max="12" width="8.796875" style="2"/>
    <col min="13" max="13" width="26.25" style="34" customWidth="1"/>
    <col min="14" max="14" width="36.94921875" style="33" customWidth="1"/>
    <col min="15" max="15" width="16.3984375" style="2" customWidth="1"/>
    <col min="16" max="16" width="19.046875" style="2" customWidth="1"/>
    <col min="17" max="17" width="13.546875" style="2" customWidth="1"/>
    <col min="18" max="18" width="39.1484375" style="2" customWidth="1"/>
    <col min="19" max="28" width="8.796875" style="2"/>
    <col min="29" max="29" width="8.796875" style="74"/>
    <col min="30" max="32" width="8.796875" style="2"/>
    <col min="33" max="33" width="15.5" style="2" customWidth="1"/>
    <col min="34" max="16384" width="8.796875" style="2"/>
  </cols>
  <sheetData>
    <row r="1" spans="1:32" ht="37.200000000000003" customHeight="1" x14ac:dyDescent="0.5">
      <c r="A1" s="30" t="s">
        <v>153</v>
      </c>
      <c r="C1" s="78">
        <v>0.5</v>
      </c>
      <c r="D1" s="78">
        <v>1</v>
      </c>
      <c r="E1" s="78">
        <v>2</v>
      </c>
      <c r="F1" s="78">
        <v>4</v>
      </c>
      <c r="N1" s="38" t="s">
        <v>154</v>
      </c>
      <c r="AC1" s="73" t="s">
        <v>333</v>
      </c>
      <c r="AD1" s="35"/>
      <c r="AE1" s="35"/>
      <c r="AF1" s="35"/>
    </row>
    <row r="2" spans="1:32" ht="14.1" x14ac:dyDescent="0.5">
      <c r="B2" s="63" t="s">
        <v>56</v>
      </c>
      <c r="C2" s="52" t="s">
        <v>57</v>
      </c>
      <c r="D2" s="52" t="s">
        <v>0</v>
      </c>
      <c r="E2" s="52" t="s">
        <v>1</v>
      </c>
      <c r="F2" s="52" t="s">
        <v>58</v>
      </c>
      <c r="G2" s="52" t="s">
        <v>305</v>
      </c>
      <c r="H2" s="56" t="s">
        <v>55</v>
      </c>
      <c r="N2" s="39" t="s">
        <v>156</v>
      </c>
      <c r="AC2" s="75" t="s">
        <v>369</v>
      </c>
      <c r="AD2" s="14" t="s">
        <v>309</v>
      </c>
      <c r="AE2" s="14" t="s">
        <v>310</v>
      </c>
      <c r="AF2" s="14" t="s">
        <v>311</v>
      </c>
    </row>
    <row r="3" spans="1:32" ht="14.1" x14ac:dyDescent="0.5">
      <c r="B3" s="43" t="s">
        <v>329</v>
      </c>
      <c r="C3" s="64"/>
      <c r="D3" s="65">
        <v>5</v>
      </c>
      <c r="E3" s="9">
        <v>0</v>
      </c>
      <c r="F3" s="9">
        <v>0</v>
      </c>
      <c r="G3" s="9">
        <f>SUMPRODUCT(C3:F3, $C$1:$F$1)</f>
        <v>5</v>
      </c>
      <c r="H3" s="28" t="s">
        <v>187</v>
      </c>
      <c r="N3" s="40" t="s">
        <v>168</v>
      </c>
      <c r="AC3" s="75">
        <v>2022</v>
      </c>
      <c r="AD3" s="86">
        <v>0</v>
      </c>
      <c r="AE3" s="86">
        <v>0</v>
      </c>
      <c r="AF3" s="86">
        <v>0</v>
      </c>
    </row>
    <row r="4" spans="1:32" ht="14.1" x14ac:dyDescent="0.5">
      <c r="B4" s="43" t="s">
        <v>328</v>
      </c>
      <c r="C4" s="9">
        <v>0</v>
      </c>
      <c r="D4" s="9">
        <v>3</v>
      </c>
      <c r="E4" s="9">
        <v>0</v>
      </c>
      <c r="F4" s="9">
        <v>0</v>
      </c>
      <c r="G4" s="9">
        <f t="shared" ref="G4:G6" si="0">SUMPRODUCT(C4:F4, $C$1:$F$1)</f>
        <v>3</v>
      </c>
      <c r="H4" s="28"/>
      <c r="N4" s="40" t="s">
        <v>167</v>
      </c>
      <c r="AC4" s="75">
        <v>2023</v>
      </c>
      <c r="AD4" s="86">
        <v>1</v>
      </c>
      <c r="AE4" s="86">
        <v>0</v>
      </c>
      <c r="AF4" s="86">
        <v>0</v>
      </c>
    </row>
    <row r="5" spans="1:32" ht="14.1" x14ac:dyDescent="0.5">
      <c r="B5" s="43" t="s">
        <v>330</v>
      </c>
      <c r="C5" s="9">
        <v>1</v>
      </c>
      <c r="D5" s="9">
        <v>3</v>
      </c>
      <c r="E5" s="9">
        <v>0</v>
      </c>
      <c r="F5" s="9">
        <v>0</v>
      </c>
      <c r="G5" s="9">
        <f t="shared" si="0"/>
        <v>3.5</v>
      </c>
      <c r="H5" s="28"/>
      <c r="N5" s="33" t="s">
        <v>169</v>
      </c>
      <c r="AC5" s="75">
        <v>2024</v>
      </c>
      <c r="AD5" s="86">
        <v>1</v>
      </c>
      <c r="AE5" s="86">
        <v>0</v>
      </c>
      <c r="AF5" s="86">
        <v>0</v>
      </c>
    </row>
    <row r="6" spans="1:32" ht="14.1" x14ac:dyDescent="0.5">
      <c r="B6" s="43" t="s">
        <v>327</v>
      </c>
      <c r="C6" s="9">
        <v>0</v>
      </c>
      <c r="D6" s="9">
        <v>1</v>
      </c>
      <c r="E6" s="9">
        <v>2.5</v>
      </c>
      <c r="F6" s="9">
        <v>0</v>
      </c>
      <c r="G6" s="9">
        <f t="shared" si="0"/>
        <v>6</v>
      </c>
      <c r="H6" s="28"/>
      <c r="O6" s="60" t="s">
        <v>155</v>
      </c>
      <c r="P6" s="61"/>
      <c r="Q6" s="61"/>
      <c r="R6" s="61"/>
      <c r="T6" s="2" t="s">
        <v>44</v>
      </c>
      <c r="AC6" s="75">
        <v>2025</v>
      </c>
      <c r="AD6" s="86">
        <v>0.87764705882352934</v>
      </c>
      <c r="AE6" s="86">
        <v>0.12235294117647058</v>
      </c>
      <c r="AF6" s="86">
        <v>0</v>
      </c>
    </row>
    <row r="7" spans="1:32" ht="14.1" x14ac:dyDescent="0.5">
      <c r="B7" s="43" t="s">
        <v>325</v>
      </c>
      <c r="C7" s="9">
        <v>0</v>
      </c>
      <c r="D7" s="8">
        <v>2</v>
      </c>
      <c r="E7" s="8">
        <v>4</v>
      </c>
      <c r="F7" s="9">
        <v>0</v>
      </c>
      <c r="G7" s="9">
        <f>SUMPRODUCT(C7:F7, $C$1:$F$1)</f>
        <v>10</v>
      </c>
      <c r="H7" s="28" t="s">
        <v>331</v>
      </c>
      <c r="O7" s="31" t="s">
        <v>177</v>
      </c>
      <c r="P7" s="31" t="s">
        <v>178</v>
      </c>
      <c r="Q7" s="51"/>
      <c r="R7" s="32" t="s">
        <v>175</v>
      </c>
      <c r="T7" s="44" t="s">
        <v>188</v>
      </c>
      <c r="AC7" s="75">
        <v>2026</v>
      </c>
      <c r="AD7" s="86">
        <v>0.72596843615494977</v>
      </c>
      <c r="AE7" s="86">
        <v>0.27403156384505023</v>
      </c>
      <c r="AF7" s="86">
        <v>0</v>
      </c>
    </row>
    <row r="8" spans="1:32" ht="14.1" x14ac:dyDescent="0.5">
      <c r="B8" s="43" t="s">
        <v>326</v>
      </c>
      <c r="C8" s="14"/>
      <c r="D8" s="9"/>
      <c r="E8" s="8">
        <v>2</v>
      </c>
      <c r="F8" s="8">
        <v>3</v>
      </c>
      <c r="G8" s="9">
        <f>SUMPRODUCT(C8:F8, $C$1:$F$1)</f>
        <v>16</v>
      </c>
      <c r="H8" s="29" t="s">
        <v>324</v>
      </c>
      <c r="O8" s="7" t="s">
        <v>182</v>
      </c>
      <c r="AC8" s="75">
        <v>2027</v>
      </c>
      <c r="AD8" s="86">
        <v>0.61990950226244346</v>
      </c>
      <c r="AE8" s="86">
        <v>0.33823529411764708</v>
      </c>
      <c r="AF8" s="86">
        <v>4.1855203619909499E-2</v>
      </c>
    </row>
    <row r="9" spans="1:32" ht="14.1" x14ac:dyDescent="0.5">
      <c r="O9" s="43" t="s">
        <v>173</v>
      </c>
      <c r="P9" s="2" t="s">
        <v>170</v>
      </c>
      <c r="Q9" s="46">
        <f>Q12</f>
        <v>230400</v>
      </c>
      <c r="R9" s="28" t="s">
        <v>176</v>
      </c>
      <c r="AC9" s="75">
        <v>2028</v>
      </c>
      <c r="AD9" s="86">
        <v>0.49048442906574391</v>
      </c>
      <c r="AE9" s="86">
        <v>0.42906574394463665</v>
      </c>
      <c r="AF9" s="86">
        <v>8.0449826989619375E-2</v>
      </c>
    </row>
    <row r="10" spans="1:32" ht="14.1" x14ac:dyDescent="0.5">
      <c r="B10" s="63" t="s">
        <v>308</v>
      </c>
      <c r="C10" s="52" t="s">
        <v>57</v>
      </c>
      <c r="D10" s="52" t="s">
        <v>0</v>
      </c>
      <c r="E10" s="52" t="s">
        <v>1</v>
      </c>
      <c r="F10" s="52" t="s">
        <v>58</v>
      </c>
      <c r="G10" s="52" t="s">
        <v>305</v>
      </c>
      <c r="H10" s="56" t="s">
        <v>55</v>
      </c>
      <c r="O10" s="44"/>
      <c r="P10" s="41" t="s">
        <v>174</v>
      </c>
      <c r="Q10" s="48">
        <f>Q9/800</f>
        <v>288</v>
      </c>
      <c r="R10" s="28"/>
      <c r="AC10" s="75">
        <v>2029</v>
      </c>
      <c r="AD10" s="86">
        <v>0.39144956579826318</v>
      </c>
      <c r="AE10" s="86">
        <v>0.46893787575150297</v>
      </c>
      <c r="AF10" s="86">
        <v>0.13961255845023382</v>
      </c>
    </row>
    <row r="11" spans="1:32" ht="41.4" x14ac:dyDescent="0.5">
      <c r="B11" s="58">
        <v>2025</v>
      </c>
      <c r="C11" s="9" t="s">
        <v>321</v>
      </c>
      <c r="D11" s="9">
        <v>3</v>
      </c>
      <c r="E11" s="9">
        <v>0</v>
      </c>
      <c r="F11" s="9">
        <v>0</v>
      </c>
      <c r="G11" s="70">
        <v>3</v>
      </c>
      <c r="H11" s="45" t="s">
        <v>306</v>
      </c>
      <c r="O11" s="43" t="s">
        <v>166</v>
      </c>
      <c r="P11" s="2" t="s">
        <v>170</v>
      </c>
      <c r="Q11" s="46">
        <f>Q20*400</f>
        <v>230400</v>
      </c>
      <c r="R11" s="28"/>
    </row>
    <row r="12" spans="1:32" ht="14.1" x14ac:dyDescent="0.5">
      <c r="B12" s="58">
        <v>2026</v>
      </c>
      <c r="C12" s="9" t="s">
        <v>321</v>
      </c>
      <c r="D12" s="67">
        <v>2</v>
      </c>
      <c r="E12" s="105">
        <v>1.5</v>
      </c>
      <c r="F12" s="67">
        <v>0</v>
      </c>
      <c r="G12" s="70">
        <f>SUMPRODUCT($C$1:$F$1,C12:F12)</f>
        <v>5</v>
      </c>
      <c r="H12" s="104" t="s">
        <v>375</v>
      </c>
      <c r="O12" s="44"/>
      <c r="P12" s="2" t="s">
        <v>171</v>
      </c>
      <c r="Q12" s="46">
        <f>Q11</f>
        <v>230400</v>
      </c>
      <c r="R12" s="28"/>
      <c r="AC12" s="73" t="s">
        <v>370</v>
      </c>
      <c r="AD12" s="35"/>
      <c r="AE12" s="35"/>
      <c r="AF12" s="35"/>
    </row>
    <row r="13" spans="1:32" ht="14.1" x14ac:dyDescent="0.5">
      <c r="B13" s="58">
        <v>2027</v>
      </c>
      <c r="C13" s="9" t="s">
        <v>321</v>
      </c>
      <c r="D13" s="67">
        <v>1</v>
      </c>
      <c r="E13" s="67">
        <v>2</v>
      </c>
      <c r="F13" s="67">
        <v>1</v>
      </c>
      <c r="G13" s="70">
        <f t="shared" ref="G13:G14" si="1">SUMPRODUCT($C$1:$F$1,C13:F13)</f>
        <v>9</v>
      </c>
      <c r="H13" s="28" t="s">
        <v>377</v>
      </c>
      <c r="O13" s="44"/>
      <c r="P13" s="41" t="s">
        <v>172</v>
      </c>
      <c r="Q13" s="48">
        <f>SUM(Q11:Q12)/800</f>
        <v>576</v>
      </c>
      <c r="R13" s="28"/>
      <c r="AD13" s="71" t="s">
        <v>309</v>
      </c>
      <c r="AE13" s="71" t="s">
        <v>310</v>
      </c>
      <c r="AF13" s="71" t="s">
        <v>311</v>
      </c>
    </row>
    <row r="14" spans="1:32" ht="14.1" x14ac:dyDescent="0.5">
      <c r="B14" s="58">
        <v>2028</v>
      </c>
      <c r="C14" s="9" t="s">
        <v>321</v>
      </c>
      <c r="D14" s="67">
        <v>0</v>
      </c>
      <c r="E14" s="67">
        <v>3</v>
      </c>
      <c r="F14" s="67">
        <v>2</v>
      </c>
      <c r="G14" s="70">
        <f t="shared" si="1"/>
        <v>14</v>
      </c>
      <c r="H14" s="28" t="s">
        <v>376</v>
      </c>
      <c r="O14" s="43" t="s">
        <v>157</v>
      </c>
      <c r="P14" s="2" t="s">
        <v>164</v>
      </c>
      <c r="Q14" s="46">
        <v>36</v>
      </c>
      <c r="R14" s="28" t="s">
        <v>162</v>
      </c>
      <c r="AC14" s="75">
        <v>2022</v>
      </c>
      <c r="AD14" s="72">
        <v>0</v>
      </c>
      <c r="AE14" s="72">
        <v>0</v>
      </c>
      <c r="AF14" s="72">
        <v>0</v>
      </c>
    </row>
    <row r="15" spans="1:32" ht="14.1" x14ac:dyDescent="0.5">
      <c r="P15" s="2" t="s">
        <v>159</v>
      </c>
      <c r="Q15" s="46">
        <v>2</v>
      </c>
      <c r="R15" s="28"/>
      <c r="AC15" s="75">
        <v>2023</v>
      </c>
      <c r="AD15" s="72">
        <v>1</v>
      </c>
      <c r="AE15" s="72">
        <v>0</v>
      </c>
      <c r="AF15" s="72">
        <v>0</v>
      </c>
    </row>
    <row r="16" spans="1:32" ht="14.1" x14ac:dyDescent="0.5">
      <c r="B16" s="63" t="s">
        <v>308</v>
      </c>
      <c r="C16" s="52">
        <v>2025</v>
      </c>
      <c r="D16" s="52">
        <v>2026</v>
      </c>
      <c r="E16" s="52">
        <v>2027</v>
      </c>
      <c r="F16" s="52">
        <v>2028</v>
      </c>
      <c r="P16" s="41" t="s">
        <v>160</v>
      </c>
      <c r="Q16" s="49">
        <f>Q14*Q15</f>
        <v>72</v>
      </c>
      <c r="R16" s="28"/>
      <c r="AC16" s="75">
        <v>2024</v>
      </c>
      <c r="AD16" s="72">
        <v>1</v>
      </c>
      <c r="AE16" s="72">
        <v>0</v>
      </c>
      <c r="AF16" s="72">
        <v>0</v>
      </c>
    </row>
    <row r="17" spans="2:33" ht="14.1" x14ac:dyDescent="0.5">
      <c r="B17" s="58" t="s">
        <v>0</v>
      </c>
      <c r="C17" s="92">
        <f>D11</f>
        <v>3</v>
      </c>
      <c r="D17" s="92">
        <f>D12</f>
        <v>2</v>
      </c>
      <c r="E17" s="92">
        <f>D13</f>
        <v>1</v>
      </c>
      <c r="F17" s="92">
        <f>D14</f>
        <v>0</v>
      </c>
      <c r="P17" s="2" t="s">
        <v>161</v>
      </c>
      <c r="Q17" s="46">
        <v>1</v>
      </c>
      <c r="R17" s="28" t="s">
        <v>165</v>
      </c>
      <c r="AC17" s="75">
        <v>2025</v>
      </c>
      <c r="AD17" s="72">
        <v>0.78197064989517817</v>
      </c>
      <c r="AE17" s="72">
        <v>0.21802935010482183</v>
      </c>
      <c r="AF17" s="72">
        <v>0</v>
      </c>
    </row>
    <row r="18" spans="2:33" ht="14.1" x14ac:dyDescent="0.5">
      <c r="B18" s="58" t="s">
        <v>1</v>
      </c>
      <c r="C18" s="92">
        <f>E11</f>
        <v>0</v>
      </c>
      <c r="D18" s="92">
        <f>E12</f>
        <v>1.5</v>
      </c>
      <c r="E18" s="92">
        <f>E13</f>
        <v>2</v>
      </c>
      <c r="F18" s="92">
        <f>E14</f>
        <v>3</v>
      </c>
      <c r="P18" s="2" t="s">
        <v>163</v>
      </c>
      <c r="Q18" s="46">
        <f>Q16*Q17</f>
        <v>72</v>
      </c>
      <c r="R18" s="28"/>
      <c r="AC18" s="75">
        <v>2026</v>
      </c>
      <c r="AD18" s="72">
        <v>0.56981981981981988</v>
      </c>
      <c r="AE18" s="72">
        <v>0.43018018018018028</v>
      </c>
      <c r="AF18" s="72">
        <v>0</v>
      </c>
      <c r="AG18" s="66" t="s">
        <v>312</v>
      </c>
    </row>
    <row r="19" spans="2:33" ht="14.1" x14ac:dyDescent="0.5">
      <c r="B19" s="58" t="s">
        <v>58</v>
      </c>
      <c r="C19" s="92">
        <f>F11</f>
        <v>0</v>
      </c>
      <c r="D19" s="92">
        <f>F12</f>
        <v>0</v>
      </c>
      <c r="E19" s="92">
        <f>F13</f>
        <v>1</v>
      </c>
      <c r="F19" s="92">
        <f>F14</f>
        <v>2</v>
      </c>
      <c r="P19" s="2" t="s">
        <v>158</v>
      </c>
      <c r="Q19" s="46">
        <v>8</v>
      </c>
      <c r="R19" s="28"/>
      <c r="W19" s="2" t="s">
        <v>186</v>
      </c>
      <c r="AC19" s="75">
        <v>2027</v>
      </c>
      <c r="AD19" s="72">
        <v>0.42349304482225658</v>
      </c>
      <c r="AE19" s="72">
        <v>0.46213292117465227</v>
      </c>
      <c r="AF19" s="72">
        <v>0.11437403400309119</v>
      </c>
      <c r="AG19" s="66" t="s">
        <v>332</v>
      </c>
    </row>
    <row r="20" spans="2:33" ht="110.4" x14ac:dyDescent="0.5">
      <c r="P20" s="41" t="s">
        <v>181</v>
      </c>
      <c r="Q20" s="49">
        <f>Q18*Q19</f>
        <v>576</v>
      </c>
      <c r="R20" s="45" t="s">
        <v>184</v>
      </c>
      <c r="AC20" s="75">
        <v>2028</v>
      </c>
      <c r="AD20" s="72">
        <v>0.29363024339720351</v>
      </c>
      <c r="AE20" s="72">
        <v>0.51372345934748831</v>
      </c>
      <c r="AF20" s="72">
        <v>0.1926462972553081</v>
      </c>
      <c r="AG20" s="66" t="s">
        <v>313</v>
      </c>
    </row>
    <row r="21" spans="2:33" ht="14.1" x14ac:dyDescent="0.5">
      <c r="O21" s="7"/>
      <c r="P21" s="7" t="s">
        <v>180</v>
      </c>
      <c r="Q21" s="46">
        <f>SUM(Q10+Q13)</f>
        <v>864</v>
      </c>
      <c r="R21" s="28"/>
      <c r="AC21" s="75">
        <v>2029</v>
      </c>
      <c r="AD21" s="72">
        <v>0.20736022646850671</v>
      </c>
      <c r="AE21" s="72">
        <v>0.49681528662420377</v>
      </c>
      <c r="AF21" s="72">
        <v>0.29582448690728946</v>
      </c>
      <c r="AG21" s="66" t="s">
        <v>314</v>
      </c>
    </row>
    <row r="22" spans="2:33" ht="14.1" x14ac:dyDescent="0.5">
      <c r="B22" s="35" t="s">
        <v>44</v>
      </c>
      <c r="O22" s="36" t="s">
        <v>183</v>
      </c>
      <c r="P22" s="41" t="s">
        <v>180</v>
      </c>
      <c r="Q22" s="48">
        <v>112</v>
      </c>
      <c r="R22" s="28" t="s">
        <v>185</v>
      </c>
    </row>
    <row r="23" spans="2:33" ht="14.1" x14ac:dyDescent="0.5">
      <c r="E23" s="2" t="s">
        <v>59</v>
      </c>
      <c r="F23" s="10" t="s">
        <v>60</v>
      </c>
      <c r="G23" s="10"/>
      <c r="O23" s="7" t="s">
        <v>179</v>
      </c>
      <c r="P23" s="41" t="s">
        <v>181</v>
      </c>
      <c r="Q23" s="50">
        <f>Q20</f>
        <v>576</v>
      </c>
      <c r="R23" s="28"/>
    </row>
    <row r="24" spans="2:33" ht="14.1" x14ac:dyDescent="0.5">
      <c r="P24" s="7" t="s">
        <v>180</v>
      </c>
      <c r="Q24" s="42">
        <f>SUM(Q21,Q22)</f>
        <v>976</v>
      </c>
    </row>
    <row r="33" spans="2:20" x14ac:dyDescent="0.5">
      <c r="T33" s="44" t="s">
        <v>189</v>
      </c>
    </row>
    <row r="37" spans="2:20" ht="14.1" x14ac:dyDescent="0.5">
      <c r="M37" s="62"/>
    </row>
    <row r="46" spans="2:20" x14ac:dyDescent="0.5">
      <c r="B46" s="35" t="s">
        <v>62</v>
      </c>
    </row>
    <row r="47" spans="2:20" ht="14.1" x14ac:dyDescent="0.5">
      <c r="B47" s="37" t="s">
        <v>5</v>
      </c>
      <c r="C47" s="6" t="s">
        <v>61</v>
      </c>
    </row>
    <row r="48" spans="2:20" ht="14.1" x14ac:dyDescent="0.5">
      <c r="B48" s="37" t="s">
        <v>4</v>
      </c>
      <c r="C48" s="5" t="s">
        <v>6</v>
      </c>
      <c r="D48" s="5" t="s">
        <v>7</v>
      </c>
    </row>
    <row r="49" spans="2:23" ht="14.1" x14ac:dyDescent="0.5">
      <c r="B49" s="37"/>
      <c r="C49" s="11" t="s">
        <v>8</v>
      </c>
      <c r="D49" s="11" t="s">
        <v>9</v>
      </c>
    </row>
    <row r="50" spans="2:23" ht="14.1" x14ac:dyDescent="0.5">
      <c r="B50" s="37"/>
      <c r="C50" s="11"/>
      <c r="D50" s="11" t="s">
        <v>10</v>
      </c>
    </row>
    <row r="51" spans="2:23" ht="14.1" x14ac:dyDescent="0.5">
      <c r="B51" s="37" t="s">
        <v>12</v>
      </c>
      <c r="C51" s="11"/>
      <c r="D51" s="11" t="s">
        <v>11</v>
      </c>
    </row>
    <row r="52" spans="2:23" ht="14.1" x14ac:dyDescent="0.5">
      <c r="B52" s="37" t="s">
        <v>3</v>
      </c>
      <c r="C52" s="11" t="s">
        <v>13</v>
      </c>
      <c r="D52" s="11" t="s">
        <v>14</v>
      </c>
    </row>
    <row r="53" spans="2:23" ht="14.1" x14ac:dyDescent="0.5">
      <c r="B53" s="37"/>
      <c r="C53" s="11" t="s">
        <v>15</v>
      </c>
      <c r="D53" s="11" t="s">
        <v>16</v>
      </c>
    </row>
    <row r="54" spans="2:23" ht="14.1" x14ac:dyDescent="0.5">
      <c r="B54" s="37" t="s">
        <v>2</v>
      </c>
      <c r="C54" s="11"/>
      <c r="D54" s="11" t="s">
        <v>17</v>
      </c>
    </row>
    <row r="55" spans="2:23" ht="14.1" x14ac:dyDescent="0.5">
      <c r="B55" s="37"/>
      <c r="C55" s="11" t="s">
        <v>18</v>
      </c>
      <c r="D55" s="11" t="s">
        <v>19</v>
      </c>
    </row>
    <row r="56" spans="2:23" ht="14.1" x14ac:dyDescent="0.5">
      <c r="C56" s="11"/>
      <c r="D56" s="11" t="s">
        <v>20</v>
      </c>
    </row>
    <row r="58" spans="2:23" x14ac:dyDescent="0.5">
      <c r="B58" s="35" t="s">
        <v>64</v>
      </c>
    </row>
    <row r="59" spans="2:23" ht="14.1" x14ac:dyDescent="0.5">
      <c r="C59" s="6" t="s">
        <v>63</v>
      </c>
      <c r="U59" s="2" t="s">
        <v>348</v>
      </c>
      <c r="V59" s="2">
        <v>576</v>
      </c>
      <c r="W59" s="2">
        <v>9216</v>
      </c>
    </row>
    <row r="60" spans="2:23" x14ac:dyDescent="0.5">
      <c r="U60" s="2" t="s">
        <v>352</v>
      </c>
      <c r="V60" s="2">
        <v>72</v>
      </c>
      <c r="W60" s="2">
        <v>72</v>
      </c>
    </row>
    <row r="61" spans="2:23" x14ac:dyDescent="0.5">
      <c r="U61" s="2" t="s">
        <v>349</v>
      </c>
      <c r="V61" s="2">
        <v>72</v>
      </c>
      <c r="W61" s="2">
        <v>72</v>
      </c>
    </row>
    <row r="62" spans="2:23" x14ac:dyDescent="0.5">
      <c r="U62" s="2" t="s">
        <v>350</v>
      </c>
      <c r="V62" s="2">
        <v>1</v>
      </c>
      <c r="W62" s="2">
        <v>1</v>
      </c>
    </row>
    <row r="63" spans="2:23" x14ac:dyDescent="0.5">
      <c r="U63" s="2" t="s">
        <v>351</v>
      </c>
      <c r="V63" s="2">
        <v>1</v>
      </c>
      <c r="W63" s="2">
        <v>2</v>
      </c>
    </row>
  </sheetData>
  <phoneticPr fontId="2" type="noConversion"/>
  <hyperlinks>
    <hyperlink ref="F23" r:id="rId1" xr:uid="{51AF4557-3C55-424C-AC7A-234671E7E308}"/>
    <hyperlink ref="C47" r:id="rId2" xr:uid="{107EF1E6-7F96-4369-A825-8AFA1818246D}"/>
    <hyperlink ref="C59" r:id="rId3" xr:uid="{C9B218B0-A1C1-4E1E-99FF-A0C5D9BC32A2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4A7E-A03A-452C-8061-D60D7C92FB13}">
  <dimension ref="A1:Y65"/>
  <sheetViews>
    <sheetView zoomScaleNormal="100" workbookViewId="0">
      <selection activeCell="C9" sqref="C9"/>
    </sheetView>
  </sheetViews>
  <sheetFormatPr defaultRowHeight="13.8" x14ac:dyDescent="0.5"/>
  <cols>
    <col min="1" max="1" width="27.09765625" style="2" customWidth="1"/>
    <col min="2" max="2" width="10.6484375" style="2" bestFit="1" customWidth="1"/>
    <col min="3" max="4" width="6.046875" style="2" bestFit="1" customWidth="1"/>
    <col min="5" max="5" width="8.84765625" style="2" bestFit="1" customWidth="1"/>
    <col min="6" max="10" width="8.796875" style="2"/>
    <col min="11" max="11" width="46.046875" style="2" customWidth="1"/>
    <col min="12" max="12" width="12.046875" style="2" customWidth="1"/>
    <col min="13" max="13" width="12.1484375" style="2" customWidth="1"/>
    <col min="14" max="15" width="11.8984375" style="2" customWidth="1"/>
    <col min="16" max="16" width="8.796875" style="2"/>
    <col min="17" max="17" width="52.8984375" style="2" customWidth="1"/>
    <col min="18" max="20" width="9.69921875" style="2" bestFit="1" customWidth="1"/>
    <col min="21" max="21" width="8.796875" style="2"/>
    <col min="22" max="22" width="32.94921875" style="2" bestFit="1" customWidth="1"/>
    <col min="23" max="25" width="9.69921875" style="2" bestFit="1" customWidth="1"/>
    <col min="26" max="16384" width="8.796875" style="2"/>
  </cols>
  <sheetData>
    <row r="1" spans="1:25" ht="27.9" x14ac:dyDescent="0.5">
      <c r="A1" s="12" t="s">
        <v>93</v>
      </c>
      <c r="J1" s="7" t="s">
        <v>152</v>
      </c>
      <c r="P1" s="27" t="s">
        <v>92</v>
      </c>
    </row>
    <row r="2" spans="1:25" ht="14.1" x14ac:dyDescent="0.5">
      <c r="B2" s="7" t="s">
        <v>52</v>
      </c>
      <c r="C2" s="14" t="s">
        <v>46</v>
      </c>
      <c r="D2" s="14" t="s">
        <v>47</v>
      </c>
      <c r="E2" s="14" t="s">
        <v>48</v>
      </c>
      <c r="K2" s="1" t="s">
        <v>78</v>
      </c>
      <c r="L2" s="15" t="s">
        <v>21</v>
      </c>
      <c r="M2" s="15" t="s">
        <v>22</v>
      </c>
      <c r="N2" s="15" t="s">
        <v>23</v>
      </c>
      <c r="O2" s="15"/>
      <c r="Q2" s="1"/>
      <c r="R2" s="1" t="s">
        <v>21</v>
      </c>
      <c r="S2" s="1" t="s">
        <v>22</v>
      </c>
      <c r="T2" s="1" t="s">
        <v>23</v>
      </c>
      <c r="V2" s="1" t="s">
        <v>79</v>
      </c>
      <c r="W2" s="1" t="s">
        <v>21</v>
      </c>
      <c r="X2" s="1" t="s">
        <v>22</v>
      </c>
      <c r="Y2" s="1" t="s">
        <v>23</v>
      </c>
    </row>
    <row r="3" spans="1:25" ht="14.1" x14ac:dyDescent="0.5">
      <c r="B3" s="7" t="s">
        <v>45</v>
      </c>
      <c r="C3" s="16">
        <v>0</v>
      </c>
      <c r="D3" s="2">
        <v>0</v>
      </c>
      <c r="E3" s="2">
        <v>0</v>
      </c>
      <c r="K3" s="3" t="s">
        <v>94</v>
      </c>
      <c r="L3" s="17"/>
      <c r="M3" s="17"/>
      <c r="N3" s="17"/>
      <c r="O3" s="17"/>
      <c r="Q3" s="3" t="s">
        <v>95</v>
      </c>
      <c r="R3" s="18">
        <v>284214</v>
      </c>
      <c r="S3" s="18">
        <v>480317</v>
      </c>
      <c r="T3" s="18">
        <v>532889</v>
      </c>
      <c r="V3" s="3" t="s">
        <v>96</v>
      </c>
      <c r="W3" s="3"/>
      <c r="X3" s="3"/>
      <c r="Y3" s="3"/>
    </row>
    <row r="4" spans="1:25" ht="14.1" x14ac:dyDescent="0.5">
      <c r="B4" s="7" t="s">
        <v>42</v>
      </c>
      <c r="C4" s="2">
        <v>150</v>
      </c>
      <c r="D4" s="2">
        <v>0</v>
      </c>
      <c r="E4" s="2">
        <v>0</v>
      </c>
      <c r="K4" s="19" t="s">
        <v>42</v>
      </c>
      <c r="L4" s="20">
        <v>150000</v>
      </c>
      <c r="M4" s="17" t="s">
        <v>24</v>
      </c>
      <c r="N4" s="17" t="s">
        <v>24</v>
      </c>
      <c r="O4" s="17"/>
      <c r="Q4" s="3" t="s">
        <v>97</v>
      </c>
      <c r="R4" s="21">
        <v>0.7</v>
      </c>
      <c r="S4" s="21">
        <v>0.69</v>
      </c>
      <c r="T4" s="21">
        <v>0.11</v>
      </c>
      <c r="V4" s="19" t="s">
        <v>70</v>
      </c>
      <c r="W4" s="18">
        <v>1274400</v>
      </c>
      <c r="X4" s="3" t="s">
        <v>53</v>
      </c>
      <c r="Y4" s="3" t="s">
        <v>53</v>
      </c>
    </row>
    <row r="5" spans="1:25" ht="27.6" x14ac:dyDescent="0.5">
      <c r="B5" s="7" t="s">
        <v>49</v>
      </c>
      <c r="C5" s="22">
        <f>SUM(L7,L12) / 1000</f>
        <v>1609.4</v>
      </c>
      <c r="D5" s="22">
        <f t="shared" ref="C5:E8" si="0">SUM(M7,M12) / 1000</f>
        <v>0</v>
      </c>
      <c r="E5" s="22">
        <f t="shared" si="0"/>
        <v>0</v>
      </c>
      <c r="K5" s="19" t="s">
        <v>29</v>
      </c>
      <c r="L5" s="20">
        <v>850000</v>
      </c>
      <c r="M5" s="17" t="s">
        <v>24</v>
      </c>
      <c r="N5" s="17" t="s">
        <v>24</v>
      </c>
      <c r="O5" s="17"/>
      <c r="Q5" s="3" t="s">
        <v>98</v>
      </c>
      <c r="R5" s="3"/>
      <c r="S5" s="3"/>
      <c r="T5" s="3"/>
      <c r="V5" s="19" t="s">
        <v>71</v>
      </c>
      <c r="W5" s="18">
        <v>1569600</v>
      </c>
      <c r="X5" s="18">
        <v>1440000</v>
      </c>
      <c r="Y5" s="18">
        <v>1440000</v>
      </c>
    </row>
    <row r="6" spans="1:25" ht="27.6" x14ac:dyDescent="0.5">
      <c r="B6" s="7" t="s">
        <v>43</v>
      </c>
      <c r="C6" s="22">
        <f t="shared" si="0"/>
        <v>1869.6</v>
      </c>
      <c r="D6" s="22">
        <f t="shared" si="0"/>
        <v>1700</v>
      </c>
      <c r="E6" s="22">
        <f t="shared" si="0"/>
        <v>0</v>
      </c>
      <c r="K6" s="3" t="s">
        <v>99</v>
      </c>
      <c r="L6" s="17"/>
      <c r="M6" s="17"/>
      <c r="N6" s="17"/>
      <c r="O6" s="17"/>
      <c r="Q6" s="19" t="s">
        <v>25</v>
      </c>
      <c r="R6" s="21">
        <v>0.13</v>
      </c>
      <c r="S6" s="21">
        <v>0</v>
      </c>
      <c r="T6" s="21">
        <v>0</v>
      </c>
      <c r="V6" s="19" t="s">
        <v>72</v>
      </c>
      <c r="W6" s="3" t="s">
        <v>53</v>
      </c>
      <c r="X6" s="18">
        <v>2880000</v>
      </c>
      <c r="Y6" s="18">
        <v>2736000</v>
      </c>
    </row>
    <row r="7" spans="1:25" ht="14.1" x14ac:dyDescent="0.5">
      <c r="B7" s="7" t="s">
        <v>50</v>
      </c>
      <c r="C7" s="22">
        <f t="shared" si="0"/>
        <v>0</v>
      </c>
      <c r="D7" s="22">
        <f t="shared" si="0"/>
        <v>3230</v>
      </c>
      <c r="E7" s="22">
        <f t="shared" si="0"/>
        <v>1760</v>
      </c>
      <c r="K7" s="19" t="s">
        <v>30</v>
      </c>
      <c r="L7" s="20">
        <v>335000</v>
      </c>
      <c r="M7" s="17" t="s">
        <v>24</v>
      </c>
      <c r="N7" s="17" t="s">
        <v>24</v>
      </c>
      <c r="O7" s="17"/>
      <c r="Q7" s="19" t="s">
        <v>80</v>
      </c>
      <c r="R7" s="21">
        <v>0.87</v>
      </c>
      <c r="S7" s="21">
        <v>1</v>
      </c>
      <c r="T7" s="21">
        <v>1</v>
      </c>
      <c r="V7" s="3" t="s">
        <v>100</v>
      </c>
      <c r="W7" s="3"/>
      <c r="X7" s="3"/>
      <c r="Y7" s="3"/>
    </row>
    <row r="8" spans="1:25" ht="14.1" x14ac:dyDescent="0.5">
      <c r="B8" s="7" t="s">
        <v>51</v>
      </c>
      <c r="C8" s="22">
        <f>SUM(L10,L15) / 1000</f>
        <v>0</v>
      </c>
      <c r="D8" s="22">
        <f t="shared" si="0"/>
        <v>0</v>
      </c>
      <c r="E8" s="22">
        <f t="shared" si="0"/>
        <v>3036</v>
      </c>
      <c r="K8" s="19" t="s">
        <v>31</v>
      </c>
      <c r="L8" s="20">
        <v>300000</v>
      </c>
      <c r="M8" s="20">
        <v>260000</v>
      </c>
      <c r="N8" s="17" t="s">
        <v>24</v>
      </c>
      <c r="O8" s="17"/>
      <c r="Q8" s="19" t="s">
        <v>81</v>
      </c>
      <c r="R8" s="18">
        <v>35714</v>
      </c>
      <c r="S8" s="3" t="s">
        <v>53</v>
      </c>
      <c r="T8" s="3" t="s">
        <v>53</v>
      </c>
      <c r="V8" s="19" t="s">
        <v>73</v>
      </c>
      <c r="W8" s="3">
        <v>72</v>
      </c>
      <c r="X8" s="3">
        <v>72</v>
      </c>
      <c r="Y8" s="3" t="s">
        <v>53</v>
      </c>
    </row>
    <row r="9" spans="1:25" ht="14.1" x14ac:dyDescent="0.5">
      <c r="B9" s="7" t="s">
        <v>356</v>
      </c>
      <c r="C9" s="7">
        <f>SUM(C3:C8)</f>
        <v>3629</v>
      </c>
      <c r="D9" s="7">
        <f t="shared" ref="D9:E9" si="1">SUM(D3:D8)</f>
        <v>4930</v>
      </c>
      <c r="E9" s="7">
        <f t="shared" si="1"/>
        <v>4796</v>
      </c>
      <c r="K9" s="19" t="s">
        <v>32</v>
      </c>
      <c r="L9" s="17" t="s">
        <v>24</v>
      </c>
      <c r="M9" s="20">
        <v>350000</v>
      </c>
      <c r="N9" s="20">
        <v>320000</v>
      </c>
      <c r="O9" s="20"/>
      <c r="Q9" s="19" t="s">
        <v>82</v>
      </c>
      <c r="R9" s="18">
        <v>248500</v>
      </c>
      <c r="S9" s="18">
        <v>480317</v>
      </c>
      <c r="T9" s="18">
        <v>532889</v>
      </c>
      <c r="V9" s="19" t="s">
        <v>68</v>
      </c>
      <c r="W9" s="3">
        <v>144</v>
      </c>
      <c r="X9" s="3">
        <v>144</v>
      </c>
      <c r="Y9" s="3">
        <v>144</v>
      </c>
    </row>
    <row r="10" spans="1:25" x14ac:dyDescent="0.5">
      <c r="K10" s="19" t="s">
        <v>33</v>
      </c>
      <c r="L10" s="17" t="s">
        <v>24</v>
      </c>
      <c r="M10" s="17" t="s">
        <v>24</v>
      </c>
      <c r="N10" s="20">
        <v>300000</v>
      </c>
      <c r="O10" s="20"/>
      <c r="Q10" s="3" t="s">
        <v>101</v>
      </c>
      <c r="R10" s="3"/>
      <c r="S10" s="3"/>
      <c r="T10" s="3"/>
      <c r="V10" s="19" t="s">
        <v>69</v>
      </c>
      <c r="W10" s="3">
        <v>576</v>
      </c>
      <c r="X10" s="3">
        <v>576</v>
      </c>
      <c r="Y10" s="3">
        <v>576</v>
      </c>
    </row>
    <row r="11" spans="1:25" ht="14.1" x14ac:dyDescent="0.5">
      <c r="C11" s="7"/>
      <c r="D11" s="7"/>
      <c r="E11" s="7"/>
      <c r="K11" s="3" t="s">
        <v>102</v>
      </c>
      <c r="L11" s="17"/>
      <c r="M11" s="17"/>
      <c r="N11" s="17"/>
      <c r="O11" s="17"/>
      <c r="Q11" s="19" t="s">
        <v>25</v>
      </c>
      <c r="R11" s="3">
        <v>28</v>
      </c>
      <c r="S11" s="3">
        <v>28</v>
      </c>
      <c r="T11" s="3">
        <v>28</v>
      </c>
      <c r="V11" s="3" t="s">
        <v>103</v>
      </c>
      <c r="W11" s="3"/>
      <c r="X11" s="3"/>
      <c r="Y11" s="3"/>
    </row>
    <row r="12" spans="1:25" ht="14.1" x14ac:dyDescent="0.5">
      <c r="B12" s="7"/>
      <c r="C12" s="9"/>
      <c r="D12" s="9"/>
      <c r="E12" s="9"/>
      <c r="K12" s="19" t="s">
        <v>34</v>
      </c>
      <c r="L12" s="20">
        <v>1274400</v>
      </c>
      <c r="M12" s="17" t="s">
        <v>24</v>
      </c>
      <c r="N12" s="17" t="s">
        <v>24</v>
      </c>
      <c r="O12" s="17"/>
      <c r="Q12" s="19" t="s">
        <v>26</v>
      </c>
      <c r="R12" s="3">
        <v>14</v>
      </c>
      <c r="S12" s="3">
        <v>14</v>
      </c>
      <c r="T12" s="3">
        <v>14</v>
      </c>
      <c r="V12" s="19" t="s">
        <v>66</v>
      </c>
      <c r="W12" s="18">
        <v>17700</v>
      </c>
      <c r="X12" s="3" t="s">
        <v>53</v>
      </c>
      <c r="Y12" s="3" t="s">
        <v>53</v>
      </c>
    </row>
    <row r="13" spans="1:25" ht="14.1" x14ac:dyDescent="0.5">
      <c r="B13" s="7"/>
      <c r="K13" s="19" t="s">
        <v>35</v>
      </c>
      <c r="L13" s="20">
        <v>1569600</v>
      </c>
      <c r="M13" s="20">
        <v>1440000</v>
      </c>
      <c r="N13" s="17" t="s">
        <v>24</v>
      </c>
      <c r="O13" s="17"/>
      <c r="Q13" s="19" t="s">
        <v>27</v>
      </c>
      <c r="R13" s="3">
        <v>9</v>
      </c>
      <c r="S13" s="3">
        <v>9</v>
      </c>
      <c r="T13" s="3">
        <v>9</v>
      </c>
      <c r="V13" s="19" t="s">
        <v>67</v>
      </c>
      <c r="W13" s="18">
        <v>21800</v>
      </c>
      <c r="X13" s="18">
        <v>20000</v>
      </c>
      <c r="Y13" s="3" t="s">
        <v>53</v>
      </c>
    </row>
    <row r="14" spans="1:25" ht="14.1" x14ac:dyDescent="0.5">
      <c r="B14" s="7"/>
      <c r="K14" s="19" t="s">
        <v>36</v>
      </c>
      <c r="L14" s="17" t="s">
        <v>24</v>
      </c>
      <c r="M14" s="20">
        <v>2880000</v>
      </c>
      <c r="N14" s="20">
        <v>1440000</v>
      </c>
      <c r="O14" s="20"/>
      <c r="Q14" s="3" t="s">
        <v>104</v>
      </c>
      <c r="R14" s="3"/>
      <c r="S14" s="3"/>
      <c r="T14" s="3"/>
      <c r="V14" s="3" t="s">
        <v>105</v>
      </c>
      <c r="W14" s="3" t="s">
        <v>106</v>
      </c>
      <c r="X14" s="3" t="s">
        <v>107</v>
      </c>
      <c r="Y14" s="3" t="s">
        <v>108</v>
      </c>
    </row>
    <row r="15" spans="1:25" ht="14.1" x14ac:dyDescent="0.5">
      <c r="B15" s="7"/>
      <c r="K15" s="19" t="s">
        <v>37</v>
      </c>
      <c r="L15" s="17" t="s">
        <v>24</v>
      </c>
      <c r="M15" s="17" t="s">
        <v>24</v>
      </c>
      <c r="N15" s="20">
        <v>2736000</v>
      </c>
      <c r="O15" s="20"/>
      <c r="Q15" s="19" t="s">
        <v>28</v>
      </c>
      <c r="R15" s="18">
        <v>150000</v>
      </c>
      <c r="S15" s="3" t="s">
        <v>53</v>
      </c>
      <c r="T15" s="3" t="s">
        <v>53</v>
      </c>
      <c r="V15" s="19" t="s">
        <v>68</v>
      </c>
      <c r="W15" s="3" t="s">
        <v>53</v>
      </c>
      <c r="X15" s="18">
        <v>20000</v>
      </c>
      <c r="Y15" s="18">
        <v>20000</v>
      </c>
    </row>
    <row r="16" spans="1:25" ht="14.1" x14ac:dyDescent="0.5">
      <c r="B16" s="7"/>
      <c r="Q16" s="19" t="s">
        <v>29</v>
      </c>
      <c r="R16" s="18">
        <v>850000</v>
      </c>
      <c r="S16" s="3" t="s">
        <v>53</v>
      </c>
      <c r="T16" s="3" t="s">
        <v>53</v>
      </c>
      <c r="V16" s="19" t="s">
        <v>69</v>
      </c>
      <c r="W16" s="3" t="s">
        <v>53</v>
      </c>
      <c r="X16" s="18">
        <v>20000</v>
      </c>
      <c r="Y16" s="18">
        <v>19000</v>
      </c>
    </row>
    <row r="17" spans="2:25" ht="14.1" x14ac:dyDescent="0.5">
      <c r="B17" s="7"/>
      <c r="K17" s="1" t="s">
        <v>79</v>
      </c>
      <c r="Q17" s="3" t="s">
        <v>109</v>
      </c>
      <c r="R17" s="3" t="s">
        <v>110</v>
      </c>
      <c r="S17" s="3" t="s">
        <v>53</v>
      </c>
      <c r="T17" s="3" t="s">
        <v>53</v>
      </c>
      <c r="V17" s="3" t="s">
        <v>111</v>
      </c>
      <c r="W17" s="3" t="s">
        <v>108</v>
      </c>
      <c r="X17" s="3" t="s">
        <v>112</v>
      </c>
      <c r="Y17" s="3" t="s">
        <v>113</v>
      </c>
    </row>
    <row r="18" spans="2:25" ht="14.1" x14ac:dyDescent="0.5">
      <c r="B18" s="7"/>
      <c r="K18" s="19" t="s">
        <v>66</v>
      </c>
      <c r="L18" s="20">
        <v>17700</v>
      </c>
      <c r="M18" s="17" t="s">
        <v>53</v>
      </c>
      <c r="N18" s="17" t="s">
        <v>53</v>
      </c>
      <c r="O18" s="17"/>
      <c r="Q18" s="3" t="s">
        <v>114</v>
      </c>
      <c r="R18" s="3"/>
      <c r="S18" s="3"/>
      <c r="T18" s="3"/>
      <c r="V18" s="3" t="s">
        <v>115</v>
      </c>
      <c r="W18" s="3" t="s">
        <v>106</v>
      </c>
      <c r="X18" s="3" t="s">
        <v>116</v>
      </c>
      <c r="Y18" s="3" t="s">
        <v>113</v>
      </c>
    </row>
    <row r="19" spans="2:25" x14ac:dyDescent="0.5">
      <c r="K19" s="19" t="s">
        <v>67</v>
      </c>
      <c r="L19" s="20">
        <v>21800</v>
      </c>
      <c r="M19" s="20">
        <v>20000</v>
      </c>
      <c r="N19" s="17" t="s">
        <v>53</v>
      </c>
      <c r="O19" s="17"/>
      <c r="Q19" s="23" t="s">
        <v>83</v>
      </c>
      <c r="R19" s="3"/>
      <c r="S19" s="3"/>
      <c r="T19" s="3"/>
      <c r="V19" s="3" t="s">
        <v>117</v>
      </c>
      <c r="W19" s="3" t="s">
        <v>53</v>
      </c>
      <c r="X19" s="21">
        <v>0.52</v>
      </c>
      <c r="Y19" s="21">
        <v>-0.35</v>
      </c>
    </row>
    <row r="20" spans="2:25" ht="14.1" x14ac:dyDescent="0.5">
      <c r="H20" s="7"/>
      <c r="K20" s="19" t="s">
        <v>68</v>
      </c>
      <c r="L20" s="17" t="s">
        <v>53</v>
      </c>
      <c r="M20" s="20">
        <v>20000</v>
      </c>
      <c r="N20" s="20">
        <v>20000</v>
      </c>
      <c r="O20" s="20"/>
      <c r="Q20" s="19" t="s">
        <v>30</v>
      </c>
      <c r="R20" s="18">
        <v>335000</v>
      </c>
      <c r="S20" s="3" t="s">
        <v>53</v>
      </c>
      <c r="T20" s="3" t="s">
        <v>53</v>
      </c>
      <c r="V20" s="3" t="s">
        <v>118</v>
      </c>
      <c r="W20" s="3"/>
      <c r="X20" s="3"/>
      <c r="Y20" s="3"/>
    </row>
    <row r="21" spans="2:25" ht="14.1" x14ac:dyDescent="0.5">
      <c r="B21" s="7"/>
      <c r="K21" s="19" t="s">
        <v>69</v>
      </c>
      <c r="L21" s="17" t="s">
        <v>53</v>
      </c>
      <c r="M21" s="20">
        <v>20000</v>
      </c>
      <c r="N21" s="20">
        <v>19000</v>
      </c>
      <c r="O21" s="20"/>
      <c r="Q21" s="19" t="s">
        <v>31</v>
      </c>
      <c r="R21" s="18">
        <v>300000</v>
      </c>
      <c r="S21" s="18">
        <v>260000</v>
      </c>
      <c r="T21" s="3" t="s">
        <v>53</v>
      </c>
      <c r="V21" s="19" t="s">
        <v>66</v>
      </c>
      <c r="W21" s="18">
        <v>2623500</v>
      </c>
      <c r="X21" s="3" t="s">
        <v>53</v>
      </c>
      <c r="Y21" s="3" t="s">
        <v>53</v>
      </c>
    </row>
    <row r="22" spans="2:25" ht="14.1" x14ac:dyDescent="0.5">
      <c r="B22" s="7"/>
      <c r="H22" s="9"/>
      <c r="Q22" s="19" t="s">
        <v>32</v>
      </c>
      <c r="R22" s="3" t="s">
        <v>53</v>
      </c>
      <c r="S22" s="18">
        <v>350000</v>
      </c>
      <c r="T22" s="18">
        <v>320000</v>
      </c>
      <c r="V22" s="19" t="s">
        <v>67</v>
      </c>
      <c r="W22" s="18">
        <v>2983500</v>
      </c>
      <c r="X22" s="18">
        <v>2983500</v>
      </c>
      <c r="Y22" s="3" t="s">
        <v>53</v>
      </c>
    </row>
    <row r="23" spans="2:25" ht="14.1" x14ac:dyDescent="0.5">
      <c r="B23" s="7"/>
      <c r="Q23" s="19" t="s">
        <v>33</v>
      </c>
      <c r="R23" s="3" t="s">
        <v>53</v>
      </c>
      <c r="S23" s="3" t="s">
        <v>53</v>
      </c>
      <c r="T23" s="18">
        <v>300000</v>
      </c>
      <c r="V23" s="19" t="s">
        <v>68</v>
      </c>
      <c r="W23" s="3" t="s">
        <v>53</v>
      </c>
      <c r="X23" s="18">
        <v>3159000</v>
      </c>
      <c r="Y23" s="18">
        <v>3159000</v>
      </c>
    </row>
    <row r="24" spans="2:25" ht="14.1" x14ac:dyDescent="0.5">
      <c r="B24" s="7"/>
      <c r="Q24" s="3" t="s">
        <v>119</v>
      </c>
      <c r="R24" s="3" t="s">
        <v>120</v>
      </c>
      <c r="S24" s="3" t="s">
        <v>121</v>
      </c>
      <c r="T24" s="3" t="s">
        <v>122</v>
      </c>
      <c r="V24" s="19" t="s">
        <v>69</v>
      </c>
      <c r="W24" s="3" t="s">
        <v>53</v>
      </c>
      <c r="X24" s="18">
        <v>8182800</v>
      </c>
      <c r="Y24" s="18">
        <v>8812800</v>
      </c>
    </row>
    <row r="25" spans="2:25" x14ac:dyDescent="0.5">
      <c r="Q25" s="24" t="s">
        <v>84</v>
      </c>
      <c r="R25" s="3"/>
      <c r="S25" s="3"/>
      <c r="T25" s="3"/>
      <c r="V25" s="3" t="s">
        <v>123</v>
      </c>
      <c r="W25" s="3"/>
      <c r="X25" s="3"/>
      <c r="Y25" s="3"/>
    </row>
    <row r="26" spans="2:25" x14ac:dyDescent="0.5">
      <c r="J26" s="2" t="s">
        <v>54</v>
      </c>
      <c r="Q26" s="19" t="s">
        <v>85</v>
      </c>
      <c r="R26" s="18">
        <v>1274400</v>
      </c>
      <c r="S26" s="3" t="s">
        <v>53</v>
      </c>
      <c r="T26" s="3" t="s">
        <v>53</v>
      </c>
      <c r="V26" s="19" t="s">
        <v>74</v>
      </c>
      <c r="W26" s="18">
        <v>46436</v>
      </c>
      <c r="X26" s="3" t="s">
        <v>53</v>
      </c>
      <c r="Y26" s="3" t="s">
        <v>53</v>
      </c>
    </row>
    <row r="27" spans="2:25" x14ac:dyDescent="0.5">
      <c r="Q27" s="19" t="s">
        <v>86</v>
      </c>
      <c r="R27" s="18">
        <v>1569600</v>
      </c>
      <c r="S27" s="18">
        <v>1440000</v>
      </c>
      <c r="T27" s="3" t="s">
        <v>53</v>
      </c>
      <c r="V27" s="19" t="s">
        <v>75</v>
      </c>
      <c r="W27" s="18">
        <v>65040</v>
      </c>
      <c r="X27" s="18">
        <v>59670</v>
      </c>
      <c r="Y27" s="3" t="s">
        <v>53</v>
      </c>
    </row>
    <row r="28" spans="2:25" ht="14.1" x14ac:dyDescent="0.5">
      <c r="B28" s="7"/>
      <c r="Q28" s="19" t="s">
        <v>87</v>
      </c>
      <c r="R28" s="3" t="s">
        <v>53</v>
      </c>
      <c r="S28" s="18">
        <v>2880000</v>
      </c>
      <c r="T28" s="18">
        <v>1440000</v>
      </c>
      <c r="V28" s="3" t="s">
        <v>124</v>
      </c>
      <c r="W28" s="3" t="s">
        <v>125</v>
      </c>
      <c r="X28" s="3" t="s">
        <v>126</v>
      </c>
      <c r="Y28" s="3" t="s">
        <v>108</v>
      </c>
    </row>
    <row r="29" spans="2:25" ht="14.1" x14ac:dyDescent="0.5">
      <c r="B29" s="7"/>
      <c r="Q29" s="19" t="s">
        <v>88</v>
      </c>
      <c r="R29" s="3" t="s">
        <v>53</v>
      </c>
      <c r="S29" s="3" t="s">
        <v>53</v>
      </c>
      <c r="T29" s="18">
        <v>2736000</v>
      </c>
      <c r="V29" s="19" t="s">
        <v>76</v>
      </c>
      <c r="W29" s="3" t="s">
        <v>53</v>
      </c>
      <c r="X29" s="18">
        <v>63180</v>
      </c>
      <c r="Y29" s="18">
        <v>63180</v>
      </c>
    </row>
    <row r="30" spans="2:25" ht="14.1" x14ac:dyDescent="0.5">
      <c r="B30" s="7"/>
      <c r="Q30" s="3" t="s">
        <v>127</v>
      </c>
      <c r="R30" s="3" t="s">
        <v>128</v>
      </c>
      <c r="S30" s="3" t="s">
        <v>129</v>
      </c>
      <c r="T30" s="3" t="s">
        <v>130</v>
      </c>
      <c r="V30" s="19" t="s">
        <v>77</v>
      </c>
      <c r="W30" s="3" t="s">
        <v>53</v>
      </c>
      <c r="X30" s="18">
        <v>163656</v>
      </c>
      <c r="Y30" s="18">
        <v>167443</v>
      </c>
    </row>
    <row r="31" spans="2:25" ht="14.1" x14ac:dyDescent="0.5">
      <c r="B31" s="7"/>
      <c r="Q31" s="3" t="s">
        <v>131</v>
      </c>
      <c r="R31" s="3" t="s">
        <v>132</v>
      </c>
      <c r="S31" s="3" t="s">
        <v>133</v>
      </c>
      <c r="T31" s="3" t="s">
        <v>134</v>
      </c>
      <c r="V31" s="3" t="s">
        <v>135</v>
      </c>
      <c r="W31" s="3" t="s">
        <v>108</v>
      </c>
      <c r="X31" s="3" t="s">
        <v>136</v>
      </c>
      <c r="Y31" s="3" t="s">
        <v>137</v>
      </c>
    </row>
    <row r="32" spans="2:25" x14ac:dyDescent="0.5">
      <c r="Q32" s="3" t="s">
        <v>97</v>
      </c>
      <c r="R32" s="21">
        <v>10.19</v>
      </c>
      <c r="S32" s="21">
        <v>0.42</v>
      </c>
      <c r="T32" s="21">
        <v>-0.03</v>
      </c>
      <c r="V32" s="3" t="s">
        <v>138</v>
      </c>
      <c r="W32" s="3" t="s">
        <v>125</v>
      </c>
      <c r="X32" s="3" t="s">
        <v>139</v>
      </c>
      <c r="Y32" s="3" t="s">
        <v>137</v>
      </c>
    </row>
    <row r="33" spans="17:25" x14ac:dyDescent="0.5">
      <c r="Q33" s="3" t="s">
        <v>140</v>
      </c>
      <c r="R33" s="3" t="s">
        <v>141</v>
      </c>
      <c r="S33" s="3" t="s">
        <v>133</v>
      </c>
      <c r="T33" s="3" t="s">
        <v>134</v>
      </c>
      <c r="V33" s="3" t="s">
        <v>117</v>
      </c>
      <c r="W33" s="21">
        <v>36.159999999999997</v>
      </c>
      <c r="X33" s="21">
        <v>1.57</v>
      </c>
      <c r="Y33" s="25">
        <v>-0.19500000000000001</v>
      </c>
    </row>
    <row r="34" spans="17:25" x14ac:dyDescent="0.5">
      <c r="Q34" s="19" t="s">
        <v>89</v>
      </c>
      <c r="R34" s="18">
        <v>800000</v>
      </c>
      <c r="S34" s="18">
        <v>400000</v>
      </c>
      <c r="T34" s="18">
        <v>100000</v>
      </c>
    </row>
    <row r="35" spans="17:25" x14ac:dyDescent="0.5">
      <c r="Q35" s="19" t="s">
        <v>40</v>
      </c>
      <c r="R35" s="18">
        <v>1440000</v>
      </c>
      <c r="S35" s="18">
        <v>2000000</v>
      </c>
      <c r="T35" s="18">
        <v>1000000</v>
      </c>
    </row>
    <row r="36" spans="17:25" x14ac:dyDescent="0.5">
      <c r="Q36" s="19" t="s">
        <v>41</v>
      </c>
      <c r="R36" s="18">
        <v>106000</v>
      </c>
      <c r="S36" s="3" t="s">
        <v>53</v>
      </c>
      <c r="T36" s="3" t="s">
        <v>53</v>
      </c>
    </row>
    <row r="37" spans="17:25" x14ac:dyDescent="0.5">
      <c r="Q37" s="3" t="s">
        <v>142</v>
      </c>
      <c r="R37" s="3" t="s">
        <v>143</v>
      </c>
      <c r="S37" s="3" t="s">
        <v>144</v>
      </c>
      <c r="T37" s="3" t="s">
        <v>145</v>
      </c>
    </row>
    <row r="38" spans="17:25" x14ac:dyDescent="0.5">
      <c r="Q38" s="3" t="s">
        <v>146</v>
      </c>
      <c r="R38" s="3"/>
      <c r="S38" s="3"/>
      <c r="T38" s="3"/>
    </row>
    <row r="39" spans="17:25" x14ac:dyDescent="0.5">
      <c r="Q39" s="19" t="s">
        <v>38</v>
      </c>
      <c r="R39" s="21">
        <v>0.16</v>
      </c>
      <c r="S39" s="21">
        <v>0</v>
      </c>
      <c r="T39" s="21">
        <v>0</v>
      </c>
    </row>
    <row r="40" spans="17:25" x14ac:dyDescent="0.5">
      <c r="Q40" s="19" t="s">
        <v>39</v>
      </c>
      <c r="R40" s="21">
        <v>0.5</v>
      </c>
      <c r="S40" s="21">
        <v>0.23</v>
      </c>
      <c r="T40" s="21">
        <v>0</v>
      </c>
    </row>
    <row r="41" spans="17:25" x14ac:dyDescent="0.5">
      <c r="Q41" s="19" t="s">
        <v>32</v>
      </c>
      <c r="R41" s="21">
        <v>0</v>
      </c>
      <c r="S41" s="21">
        <v>0.44</v>
      </c>
      <c r="T41" s="21">
        <v>0.81</v>
      </c>
    </row>
    <row r="42" spans="17:25" x14ac:dyDescent="0.5">
      <c r="Q42" s="19" t="s">
        <v>90</v>
      </c>
      <c r="R42" s="21">
        <v>0.11</v>
      </c>
      <c r="S42" s="21">
        <v>0.05</v>
      </c>
      <c r="T42" s="21">
        <v>0.02</v>
      </c>
    </row>
    <row r="43" spans="17:25" x14ac:dyDescent="0.5">
      <c r="Q43" s="19" t="s">
        <v>91</v>
      </c>
      <c r="R43" s="21">
        <v>0.22</v>
      </c>
      <c r="S43" s="21">
        <v>0.27</v>
      </c>
      <c r="T43" s="21">
        <v>0.17</v>
      </c>
    </row>
    <row r="44" spans="17:25" x14ac:dyDescent="0.5">
      <c r="Q44" s="3" t="s">
        <v>118</v>
      </c>
      <c r="R44" s="3"/>
      <c r="S44" s="3"/>
      <c r="T44" s="3"/>
    </row>
    <row r="45" spans="17:25" x14ac:dyDescent="0.5">
      <c r="Q45" s="19" t="s">
        <v>28</v>
      </c>
      <c r="R45" s="18">
        <v>20000</v>
      </c>
      <c r="S45" s="18">
        <v>20000</v>
      </c>
      <c r="T45" s="18">
        <v>20000</v>
      </c>
    </row>
    <row r="46" spans="17:25" x14ac:dyDescent="0.5">
      <c r="Q46" s="19" t="s">
        <v>29</v>
      </c>
      <c r="R46" s="18">
        <v>9312</v>
      </c>
      <c r="S46" s="3" t="s">
        <v>53</v>
      </c>
      <c r="T46" s="3" t="s">
        <v>53</v>
      </c>
    </row>
    <row r="47" spans="17:25" x14ac:dyDescent="0.5">
      <c r="Q47" s="19" t="s">
        <v>30</v>
      </c>
      <c r="R47" s="18">
        <v>35000</v>
      </c>
      <c r="S47" s="18">
        <v>35000</v>
      </c>
      <c r="T47" s="18">
        <v>35000</v>
      </c>
    </row>
    <row r="48" spans="17:25" x14ac:dyDescent="0.5">
      <c r="Q48" s="19" t="s">
        <v>31</v>
      </c>
      <c r="R48" s="18">
        <v>40000</v>
      </c>
      <c r="S48" s="18">
        <v>40000</v>
      </c>
      <c r="T48" s="18">
        <v>36000</v>
      </c>
    </row>
    <row r="49" spans="1:20" x14ac:dyDescent="0.5">
      <c r="Q49" s="19" t="s">
        <v>32</v>
      </c>
      <c r="R49" s="3" t="s">
        <v>53</v>
      </c>
      <c r="S49" s="18">
        <v>42000</v>
      </c>
      <c r="T49" s="18">
        <v>42000</v>
      </c>
    </row>
    <row r="50" spans="1:20" x14ac:dyDescent="0.5">
      <c r="Q50" s="19" t="s">
        <v>33</v>
      </c>
      <c r="R50" s="3" t="s">
        <v>53</v>
      </c>
      <c r="S50" s="3" t="s">
        <v>53</v>
      </c>
      <c r="T50" s="18">
        <v>57000</v>
      </c>
    </row>
    <row r="51" spans="1:20" x14ac:dyDescent="0.5">
      <c r="Q51" s="19" t="s">
        <v>90</v>
      </c>
      <c r="R51" s="18">
        <v>9000</v>
      </c>
      <c r="S51" s="18">
        <v>7500</v>
      </c>
      <c r="T51" s="18">
        <v>6250</v>
      </c>
    </row>
    <row r="52" spans="1:20" x14ac:dyDescent="0.5">
      <c r="Q52" s="19" t="s">
        <v>40</v>
      </c>
      <c r="R52" s="18">
        <v>6500</v>
      </c>
      <c r="S52" s="18">
        <v>6500</v>
      </c>
      <c r="T52" s="18">
        <v>6500</v>
      </c>
    </row>
    <row r="53" spans="1:20" x14ac:dyDescent="0.5">
      <c r="Q53" s="19" t="s">
        <v>41</v>
      </c>
      <c r="R53" s="18">
        <v>9000</v>
      </c>
      <c r="S53" s="18">
        <v>9000</v>
      </c>
      <c r="T53" s="18">
        <v>9000</v>
      </c>
    </row>
    <row r="54" spans="1:20" x14ac:dyDescent="0.5">
      <c r="Q54" s="3" t="s">
        <v>147</v>
      </c>
      <c r="R54" s="3"/>
      <c r="S54" s="3"/>
      <c r="T54" s="3"/>
    </row>
    <row r="55" spans="1:20" x14ac:dyDescent="0.5">
      <c r="Q55" s="19" t="s">
        <v>28</v>
      </c>
      <c r="R55" s="18">
        <v>3000</v>
      </c>
      <c r="S55" s="3" t="s">
        <v>53</v>
      </c>
      <c r="T55" s="3" t="s">
        <v>53</v>
      </c>
    </row>
    <row r="56" spans="1:20" x14ac:dyDescent="0.5">
      <c r="Q56" s="19" t="s">
        <v>29</v>
      </c>
      <c r="R56" s="18">
        <v>7915</v>
      </c>
      <c r="S56" s="3" t="s">
        <v>53</v>
      </c>
      <c r="T56" s="3" t="s">
        <v>53</v>
      </c>
    </row>
    <row r="57" spans="1:20" x14ac:dyDescent="0.5">
      <c r="Q57" s="19" t="s">
        <v>30</v>
      </c>
      <c r="R57" s="18">
        <v>11725</v>
      </c>
      <c r="S57" s="3" t="s">
        <v>53</v>
      </c>
      <c r="T57" s="3" t="s">
        <v>53</v>
      </c>
    </row>
    <row r="58" spans="1:20" x14ac:dyDescent="0.5">
      <c r="Q58" s="19" t="s">
        <v>31</v>
      </c>
      <c r="R58" s="18">
        <v>12000</v>
      </c>
      <c r="S58" s="18">
        <v>10400</v>
      </c>
      <c r="T58" s="3" t="s">
        <v>53</v>
      </c>
    </row>
    <row r="59" spans="1:20" x14ac:dyDescent="0.5">
      <c r="Q59" s="19" t="s">
        <v>32</v>
      </c>
      <c r="R59" s="3" t="s">
        <v>53</v>
      </c>
      <c r="S59" s="18">
        <v>14700</v>
      </c>
      <c r="T59" s="18">
        <v>13440</v>
      </c>
    </row>
    <row r="60" spans="1:20" x14ac:dyDescent="0.5">
      <c r="Q60" s="19" t="s">
        <v>33</v>
      </c>
      <c r="R60" s="3" t="s">
        <v>53</v>
      </c>
      <c r="S60" s="3" t="s">
        <v>53</v>
      </c>
      <c r="T60" s="18">
        <v>17100</v>
      </c>
    </row>
    <row r="61" spans="1:20" x14ac:dyDescent="0.5">
      <c r="Q61" s="19" t="s">
        <v>90</v>
      </c>
      <c r="R61" s="18">
        <v>7200</v>
      </c>
      <c r="S61" s="18">
        <v>3000</v>
      </c>
      <c r="T61" s="3">
        <v>625</v>
      </c>
    </row>
    <row r="62" spans="1:20" x14ac:dyDescent="0.5">
      <c r="Q62" s="19" t="s">
        <v>40</v>
      </c>
      <c r="R62" s="18">
        <v>9360</v>
      </c>
      <c r="S62" s="18">
        <v>13000</v>
      </c>
      <c r="T62" s="18">
        <v>6500</v>
      </c>
    </row>
    <row r="63" spans="1:20" x14ac:dyDescent="0.5">
      <c r="A63" s="13"/>
      <c r="Q63" s="19" t="s">
        <v>41</v>
      </c>
      <c r="R63" s="3">
        <v>954</v>
      </c>
      <c r="S63" s="3" t="s">
        <v>53</v>
      </c>
      <c r="T63" s="3" t="s">
        <v>53</v>
      </c>
    </row>
    <row r="64" spans="1:20" x14ac:dyDescent="0.5">
      <c r="Q64" s="3" t="s">
        <v>148</v>
      </c>
      <c r="R64" s="3" t="s">
        <v>149</v>
      </c>
      <c r="S64" s="3" t="s">
        <v>150</v>
      </c>
      <c r="T64" s="3" t="s">
        <v>151</v>
      </c>
    </row>
    <row r="65" spans="17:17" x14ac:dyDescent="0.5">
      <c r="Q65" s="26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8887-2CBA-4238-B76F-209299019F1E}">
  <dimension ref="A1:R24"/>
  <sheetViews>
    <sheetView topLeftCell="H1" zoomScale="115" zoomScaleNormal="115" workbookViewId="0">
      <selection activeCell="K7" sqref="K7"/>
    </sheetView>
  </sheetViews>
  <sheetFormatPr defaultRowHeight="13.8" x14ac:dyDescent="0.5"/>
  <cols>
    <col min="1" max="1" width="22.94921875" style="2" customWidth="1"/>
    <col min="2" max="2" width="22.046875" style="2" bestFit="1" customWidth="1"/>
    <col min="3" max="5" width="11.1484375" style="2" bestFit="1" customWidth="1"/>
    <col min="6" max="7" width="8.796875" style="2"/>
    <col min="8" max="8" width="68.046875" style="2" customWidth="1"/>
    <col min="9" max="10" width="8.796875" style="2"/>
    <col min="11" max="11" width="8.796875" style="2" customWidth="1"/>
    <col min="12" max="16384" width="8.796875" style="2"/>
  </cols>
  <sheetData>
    <row r="1" spans="1:18" ht="27.6" x14ac:dyDescent="0.5">
      <c r="A1" s="4" t="s">
        <v>386</v>
      </c>
      <c r="H1" s="2" t="s">
        <v>195</v>
      </c>
      <c r="R1" s="2" t="s">
        <v>196</v>
      </c>
    </row>
    <row r="2" spans="1:18" ht="27.6" x14ac:dyDescent="0.5">
      <c r="B2" s="31"/>
      <c r="C2" s="52" t="s">
        <v>46</v>
      </c>
      <c r="D2" s="52" t="s">
        <v>47</v>
      </c>
      <c r="E2" s="52" t="s">
        <v>48</v>
      </c>
      <c r="F2" s="2" t="s">
        <v>175</v>
      </c>
      <c r="H2" s="53" t="s">
        <v>198</v>
      </c>
      <c r="I2" s="53" t="s">
        <v>199</v>
      </c>
      <c r="J2" s="53" t="s">
        <v>200</v>
      </c>
      <c r="K2" s="53" t="s">
        <v>201</v>
      </c>
      <c r="L2" s="53" t="s">
        <v>202</v>
      </c>
      <c r="M2" s="53" t="s">
        <v>203</v>
      </c>
      <c r="N2" s="53" t="s">
        <v>204</v>
      </c>
      <c r="O2" s="53" t="s">
        <v>193</v>
      </c>
      <c r="P2" s="53" t="s">
        <v>205</v>
      </c>
    </row>
    <row r="3" spans="1:18" ht="14.1" x14ac:dyDescent="0.5">
      <c r="B3" s="7" t="s">
        <v>355</v>
      </c>
      <c r="C3" s="86">
        <v>0.4</v>
      </c>
      <c r="D3" s="86">
        <v>0.43</v>
      </c>
      <c r="E3" s="86">
        <v>0.45</v>
      </c>
      <c r="F3" s="2" t="s">
        <v>373</v>
      </c>
      <c r="H3" s="53" t="s">
        <v>206</v>
      </c>
      <c r="I3" s="54">
        <v>2153</v>
      </c>
      <c r="J3" s="54">
        <v>3632</v>
      </c>
      <c r="K3" s="54">
        <v>7815</v>
      </c>
      <c r="L3" s="54">
        <v>10030</v>
      </c>
      <c r="M3" s="54">
        <v>11061</v>
      </c>
      <c r="N3" s="54">
        <v>12642</v>
      </c>
      <c r="O3" s="54">
        <v>13842</v>
      </c>
      <c r="P3" s="54" t="s">
        <v>207</v>
      </c>
    </row>
    <row r="4" spans="1:18" x14ac:dyDescent="0.5">
      <c r="B4" s="2" t="s">
        <v>371</v>
      </c>
      <c r="C4" s="103">
        <v>0.1</v>
      </c>
      <c r="D4" s="103">
        <v>0.25</v>
      </c>
      <c r="E4" s="103">
        <v>0.15</v>
      </c>
      <c r="F4" s="2" t="s">
        <v>374</v>
      </c>
      <c r="H4" s="53" t="s">
        <v>208</v>
      </c>
      <c r="I4" s="55"/>
      <c r="J4" s="54" t="s">
        <v>209</v>
      </c>
      <c r="K4" s="54" t="s">
        <v>210</v>
      </c>
      <c r="L4" s="54" t="s">
        <v>211</v>
      </c>
      <c r="M4" s="54" t="s">
        <v>212</v>
      </c>
      <c r="N4" s="54" t="s">
        <v>213</v>
      </c>
      <c r="O4" s="54" t="s">
        <v>214</v>
      </c>
      <c r="P4" s="55"/>
    </row>
    <row r="5" spans="1:18" ht="14.1" x14ac:dyDescent="0.5">
      <c r="B5" s="7" t="s">
        <v>372</v>
      </c>
      <c r="C5" s="102">
        <f>'GPU pipeline'!C9 * 1/(1/C3 - 1)</f>
        <v>2419.3333333333335</v>
      </c>
      <c r="D5" s="102">
        <f>C5*(1+D4)</f>
        <v>3024.166666666667</v>
      </c>
      <c r="E5" s="102">
        <f>D5*(1+E4)</f>
        <v>3477.791666666667</v>
      </c>
      <c r="H5" s="53" t="s">
        <v>215</v>
      </c>
      <c r="I5" s="54">
        <v>800</v>
      </c>
      <c r="J5" s="54">
        <v>1931</v>
      </c>
      <c r="K5" s="54">
        <v>4950</v>
      </c>
      <c r="L5" s="54">
        <v>6050</v>
      </c>
      <c r="M5" s="54">
        <v>6683</v>
      </c>
      <c r="N5" s="54">
        <v>7169</v>
      </c>
      <c r="O5" s="54">
        <v>7549</v>
      </c>
      <c r="P5" s="54" t="s">
        <v>216</v>
      </c>
    </row>
    <row r="6" spans="1:18" x14ac:dyDescent="0.5">
      <c r="B6" s="44"/>
      <c r="H6" s="53" t="s">
        <v>208</v>
      </c>
      <c r="I6" s="55"/>
      <c r="J6" s="54" t="s">
        <v>217</v>
      </c>
      <c r="K6" s="54" t="s">
        <v>218</v>
      </c>
      <c r="L6" s="54" t="s">
        <v>219</v>
      </c>
      <c r="M6" s="54" t="s">
        <v>212</v>
      </c>
      <c r="N6" s="54" t="s">
        <v>220</v>
      </c>
      <c r="O6" s="54" t="s">
        <v>221</v>
      </c>
      <c r="P6" s="55"/>
    </row>
    <row r="7" spans="1:18" ht="41.4" x14ac:dyDescent="0.5">
      <c r="A7" s="4" t="s">
        <v>387</v>
      </c>
      <c r="B7" s="31"/>
      <c r="C7" s="52" t="s">
        <v>46</v>
      </c>
      <c r="D7" s="52" t="s">
        <v>47</v>
      </c>
      <c r="E7" s="52" t="s">
        <v>48</v>
      </c>
      <c r="H7" s="53" t="s">
        <v>354</v>
      </c>
      <c r="I7" s="54">
        <v>1353</v>
      </c>
      <c r="J7" s="54">
        <v>1701</v>
      </c>
      <c r="K7" s="95">
        <v>2865</v>
      </c>
      <c r="L7" s="95">
        <v>3980</v>
      </c>
      <c r="M7" s="95">
        <v>4378</v>
      </c>
      <c r="N7" s="95">
        <v>5473</v>
      </c>
      <c r="O7" s="95">
        <v>6293</v>
      </c>
      <c r="P7" s="54" t="s">
        <v>219</v>
      </c>
    </row>
    <row r="8" spans="1:18" ht="14.1" x14ac:dyDescent="0.5">
      <c r="B8" s="7" t="s">
        <v>372</v>
      </c>
      <c r="C8" s="98">
        <v>4378</v>
      </c>
      <c r="D8" s="98">
        <v>5473</v>
      </c>
      <c r="E8" s="98">
        <v>6293</v>
      </c>
      <c r="H8" s="53" t="s">
        <v>208</v>
      </c>
      <c r="I8" s="55"/>
      <c r="J8" s="54" t="s">
        <v>222</v>
      </c>
      <c r="K8" s="54" t="s">
        <v>223</v>
      </c>
      <c r="L8" s="54" t="s">
        <v>224</v>
      </c>
      <c r="M8" s="54" t="s">
        <v>212</v>
      </c>
      <c r="N8" s="54" t="s">
        <v>225</v>
      </c>
      <c r="O8" s="54" t="s">
        <v>207</v>
      </c>
      <c r="P8" s="55"/>
    </row>
    <row r="9" spans="1:18" ht="14.1" x14ac:dyDescent="0.5">
      <c r="H9" s="14" t="s">
        <v>355</v>
      </c>
      <c r="I9" s="99">
        <f>I7/I3</f>
        <v>0.62842545285647933</v>
      </c>
      <c r="J9" s="99">
        <f t="shared" ref="J9:O9" si="0">J7/J3</f>
        <v>0.46833700440528636</v>
      </c>
      <c r="K9" s="99">
        <f t="shared" si="0"/>
        <v>0.36660268714011518</v>
      </c>
      <c r="L9" s="99">
        <f t="shared" si="0"/>
        <v>0.39680957128614158</v>
      </c>
      <c r="M9" s="99">
        <f t="shared" si="0"/>
        <v>0.39580508091492633</v>
      </c>
      <c r="N9" s="99">
        <f>N7/N3</f>
        <v>0.43292200601170699</v>
      </c>
      <c r="O9" s="99">
        <f t="shared" si="0"/>
        <v>0.45463083369455282</v>
      </c>
    </row>
    <row r="10" spans="1:18" x14ac:dyDescent="0.5">
      <c r="H10" s="53" t="s">
        <v>226</v>
      </c>
      <c r="I10" s="55"/>
      <c r="J10" s="55"/>
      <c r="K10" s="55"/>
      <c r="L10" s="55"/>
      <c r="M10" s="55"/>
      <c r="N10" s="55"/>
      <c r="O10" s="55"/>
      <c r="P10" s="55"/>
    </row>
    <row r="11" spans="1:18" x14ac:dyDescent="0.5">
      <c r="H11" s="53" t="s">
        <v>227</v>
      </c>
      <c r="I11" s="54" t="s">
        <v>228</v>
      </c>
      <c r="J11" s="54" t="s">
        <v>228</v>
      </c>
      <c r="K11" s="54" t="s">
        <v>229</v>
      </c>
      <c r="L11" s="54" t="s">
        <v>229</v>
      </c>
      <c r="M11" s="54" t="s">
        <v>230</v>
      </c>
      <c r="N11" s="54" t="s">
        <v>231</v>
      </c>
      <c r="O11" s="54" t="s">
        <v>231</v>
      </c>
      <c r="P11" s="55"/>
    </row>
    <row r="12" spans="1:18" x14ac:dyDescent="0.5">
      <c r="H12" s="53" t="s">
        <v>232</v>
      </c>
      <c r="I12" s="55"/>
      <c r="J12" s="55"/>
      <c r="K12" s="55"/>
      <c r="L12" s="55"/>
      <c r="M12" s="55"/>
      <c r="N12" s="55"/>
      <c r="O12" s="55"/>
      <c r="P12" s="55"/>
    </row>
    <row r="13" spans="1:18" x14ac:dyDescent="0.5">
      <c r="A13" s="2" t="s">
        <v>301</v>
      </c>
      <c r="H13" s="53" t="s">
        <v>233</v>
      </c>
      <c r="I13" s="55"/>
      <c r="J13" s="55"/>
      <c r="K13" s="54" t="s">
        <v>234</v>
      </c>
      <c r="L13" s="54" t="s">
        <v>234</v>
      </c>
      <c r="M13" s="54" t="s">
        <v>234</v>
      </c>
      <c r="N13" s="54" t="s">
        <v>234</v>
      </c>
      <c r="O13" s="54" t="s">
        <v>234</v>
      </c>
      <c r="P13" s="55"/>
    </row>
    <row r="14" spans="1:18" ht="14.1" x14ac:dyDescent="0.5">
      <c r="B14" s="31"/>
      <c r="C14" s="52">
        <v>2023</v>
      </c>
      <c r="D14" s="52" t="s">
        <v>194</v>
      </c>
      <c r="E14" s="56" t="s">
        <v>175</v>
      </c>
      <c r="H14" s="53" t="s">
        <v>235</v>
      </c>
      <c r="I14" s="54" t="s">
        <v>230</v>
      </c>
      <c r="J14" s="54" t="s">
        <v>230</v>
      </c>
      <c r="K14" s="54" t="s">
        <v>230</v>
      </c>
      <c r="L14" s="54" t="s">
        <v>230</v>
      </c>
      <c r="M14" s="54" t="s">
        <v>230</v>
      </c>
      <c r="N14" s="54" t="s">
        <v>230</v>
      </c>
      <c r="O14" s="54" t="s">
        <v>230</v>
      </c>
      <c r="P14" s="55"/>
    </row>
    <row r="15" spans="1:18" ht="14.1" x14ac:dyDescent="0.5">
      <c r="B15" s="7" t="s">
        <v>191</v>
      </c>
      <c r="C15" s="2">
        <v>6.6</v>
      </c>
      <c r="D15" s="2">
        <v>55.4</v>
      </c>
      <c r="E15" s="28"/>
      <c r="H15" s="53" t="s">
        <v>236</v>
      </c>
      <c r="I15" s="54" t="s">
        <v>237</v>
      </c>
      <c r="J15" s="54" t="s">
        <v>238</v>
      </c>
      <c r="K15" s="54" t="s">
        <v>239</v>
      </c>
      <c r="L15" s="54" t="s">
        <v>240</v>
      </c>
      <c r="M15" s="54" t="s">
        <v>241</v>
      </c>
      <c r="N15" s="54" t="s">
        <v>242</v>
      </c>
      <c r="O15" s="54" t="s">
        <v>243</v>
      </c>
      <c r="P15" s="54" t="s">
        <v>243</v>
      </c>
    </row>
    <row r="16" spans="1:18" ht="14.1" x14ac:dyDescent="0.5">
      <c r="B16" s="7" t="s">
        <v>190</v>
      </c>
      <c r="C16" s="47">
        <v>5000</v>
      </c>
      <c r="D16" s="47">
        <v>5000</v>
      </c>
      <c r="E16" s="28" t="s">
        <v>302</v>
      </c>
      <c r="H16" s="53" t="s">
        <v>208</v>
      </c>
      <c r="I16" s="55"/>
      <c r="J16" s="54" t="s">
        <v>244</v>
      </c>
      <c r="K16" s="54" t="s">
        <v>245</v>
      </c>
      <c r="L16" s="54" t="s">
        <v>246</v>
      </c>
      <c r="M16" s="54" t="s">
        <v>214</v>
      </c>
      <c r="N16" s="54" t="s">
        <v>247</v>
      </c>
      <c r="O16" s="54" t="s">
        <v>248</v>
      </c>
      <c r="P16" s="55"/>
    </row>
    <row r="17" spans="2:16" ht="14.1" x14ac:dyDescent="0.5">
      <c r="B17" s="7" t="s">
        <v>192</v>
      </c>
      <c r="C17" s="2">
        <f>C15 * 1000/C16</f>
        <v>1.32</v>
      </c>
      <c r="D17" s="2">
        <f>D15 * 1000/D16</f>
        <v>11.08</v>
      </c>
      <c r="E17" s="28" t="s">
        <v>303</v>
      </c>
      <c r="H17" s="53" t="s">
        <v>249</v>
      </c>
      <c r="I17" s="54" t="s">
        <v>250</v>
      </c>
      <c r="J17" s="54" t="s">
        <v>251</v>
      </c>
      <c r="K17" s="54" t="s">
        <v>252</v>
      </c>
      <c r="L17" s="54" t="s">
        <v>253</v>
      </c>
      <c r="M17" s="54" t="s">
        <v>254</v>
      </c>
      <c r="N17" s="54" t="s">
        <v>255</v>
      </c>
      <c r="O17" s="54" t="s">
        <v>211</v>
      </c>
      <c r="P17" s="54" t="s">
        <v>211</v>
      </c>
    </row>
    <row r="18" spans="2:16" x14ac:dyDescent="0.5">
      <c r="H18" s="53" t="s">
        <v>208</v>
      </c>
      <c r="I18" s="55"/>
      <c r="J18" s="54" t="s">
        <v>217</v>
      </c>
      <c r="K18" s="54" t="s">
        <v>256</v>
      </c>
      <c r="L18" s="54" t="s">
        <v>257</v>
      </c>
      <c r="M18" s="54" t="s">
        <v>258</v>
      </c>
      <c r="N18" s="54" t="s">
        <v>212</v>
      </c>
      <c r="O18" s="54" t="s">
        <v>248</v>
      </c>
      <c r="P18" s="55"/>
    </row>
    <row r="19" spans="2:16" x14ac:dyDescent="0.5">
      <c r="H19" s="53" t="s">
        <v>259</v>
      </c>
      <c r="I19" s="54" t="s">
        <v>260</v>
      </c>
      <c r="J19" s="54" t="s">
        <v>261</v>
      </c>
      <c r="K19" s="54" t="s">
        <v>262</v>
      </c>
      <c r="L19" s="54" t="s">
        <v>263</v>
      </c>
      <c r="M19" s="54" t="s">
        <v>264</v>
      </c>
      <c r="N19" s="54" t="s">
        <v>265</v>
      </c>
      <c r="O19" s="54" t="s">
        <v>266</v>
      </c>
      <c r="P19" s="54" t="s">
        <v>267</v>
      </c>
    </row>
    <row r="20" spans="2:16" x14ac:dyDescent="0.5">
      <c r="H20" s="53" t="s">
        <v>208</v>
      </c>
      <c r="I20" s="55"/>
      <c r="J20" s="54" t="s">
        <v>247</v>
      </c>
      <c r="K20" s="54" t="s">
        <v>211</v>
      </c>
      <c r="L20" s="54" t="s">
        <v>268</v>
      </c>
      <c r="M20" s="54" t="s">
        <v>269</v>
      </c>
      <c r="N20" s="54" t="s">
        <v>270</v>
      </c>
      <c r="O20" s="54" t="s">
        <v>214</v>
      </c>
      <c r="P20" s="55"/>
    </row>
    <row r="21" spans="2:16" x14ac:dyDescent="0.5">
      <c r="H21" s="53" t="s">
        <v>271</v>
      </c>
      <c r="I21" s="54" t="s">
        <v>272</v>
      </c>
      <c r="J21" s="54" t="s">
        <v>273</v>
      </c>
      <c r="K21" s="54" t="s">
        <v>274</v>
      </c>
      <c r="L21" s="54" t="s">
        <v>275</v>
      </c>
      <c r="M21" s="54" t="s">
        <v>275</v>
      </c>
      <c r="N21" s="54" t="s">
        <v>276</v>
      </c>
      <c r="O21" s="54" t="s">
        <v>277</v>
      </c>
      <c r="P21" s="54" t="s">
        <v>278</v>
      </c>
    </row>
    <row r="22" spans="2:16" x14ac:dyDescent="0.5">
      <c r="H22" s="53" t="s">
        <v>279</v>
      </c>
      <c r="I22" s="54" t="s">
        <v>280</v>
      </c>
      <c r="J22" s="54" t="s">
        <v>281</v>
      </c>
      <c r="K22" s="54" t="s">
        <v>282</v>
      </c>
      <c r="L22" s="54" t="s">
        <v>283</v>
      </c>
      <c r="M22" s="54" t="s">
        <v>284</v>
      </c>
      <c r="N22" s="54" t="s">
        <v>285</v>
      </c>
      <c r="O22" s="54" t="s">
        <v>286</v>
      </c>
      <c r="P22" s="55"/>
    </row>
    <row r="23" spans="2:16" x14ac:dyDescent="0.5">
      <c r="H23" s="53" t="s">
        <v>287</v>
      </c>
      <c r="I23" s="54" t="s">
        <v>288</v>
      </c>
      <c r="J23" s="54" t="s">
        <v>289</v>
      </c>
      <c r="K23" s="54" t="s">
        <v>290</v>
      </c>
      <c r="L23" s="54" t="s">
        <v>291</v>
      </c>
      <c r="M23" s="54" t="s">
        <v>292</v>
      </c>
      <c r="N23" s="54" t="s">
        <v>293</v>
      </c>
      <c r="O23" s="54" t="s">
        <v>294</v>
      </c>
      <c r="P23" s="55"/>
    </row>
    <row r="24" spans="2:16" x14ac:dyDescent="0.5">
      <c r="H24" s="53" t="s">
        <v>295</v>
      </c>
      <c r="I24" s="54" t="s">
        <v>296</v>
      </c>
      <c r="J24" s="54" t="s">
        <v>297</v>
      </c>
      <c r="K24" s="54" t="s">
        <v>298</v>
      </c>
      <c r="L24" s="54" t="s">
        <v>299</v>
      </c>
      <c r="M24" s="54" t="s">
        <v>300</v>
      </c>
      <c r="N24" s="54" t="s">
        <v>281</v>
      </c>
      <c r="O24" s="54" t="s">
        <v>290</v>
      </c>
      <c r="P24" s="55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Transceiver pipeline</vt:lpstr>
      <vt:lpstr>Card to Transceiver</vt:lpstr>
      <vt:lpstr>GPU pipeline</vt:lpstr>
      <vt:lpstr>ASIC 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Kunyu</dc:creator>
  <cp:lastModifiedBy>Deng Kunyu</cp:lastModifiedBy>
  <dcterms:created xsi:type="dcterms:W3CDTF">2025-09-22T16:48:07Z</dcterms:created>
  <dcterms:modified xsi:type="dcterms:W3CDTF">2025-10-18T11:40:31Z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7E12FCBC-FF20-4027-A153-D4C1A165F593</vt:lpwstr>
  </property>
</Properties>
</file>