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pn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OBOOK 445 G7\Desktop\FARENO-TRANSIT\"/>
    </mc:Choice>
  </mc:AlternateContent>
  <xr:revisionPtr revIDLastSave="0" documentId="13_ncr:1_{4B662D71-58E2-4FF4-96A4-84520298A34C}" xr6:coauthVersionLast="45" xr6:coauthVersionMax="47" xr10:uidLastSave="{00000000-0000-0000-0000-000000000000}"/>
  <bookViews>
    <workbookView visibility="hidden" xWindow="-120" yWindow="-120" windowWidth="20730" windowHeight="11040" tabRatio="828" firstSheet="1" activeTab="9" xr2:uid="{8E05552C-7C0F-4D55-90E3-129A5BEC5BEC}"/>
  </bookViews>
  <sheets>
    <sheet name="DASHBORD" sheetId="1" r:id="rId1"/>
    <sheet name="ARTICLE" sheetId="2" r:id="rId2"/>
    <sheet name="ORDER" sheetId="3" r:id="rId3"/>
    <sheet name="BONCMD" sheetId="4" r:id="rId4"/>
    <sheet name="BOOKING" sheetId="5" r:id="rId5"/>
    <sheet name="FOURNISSEUR" sheetId="6" r:id="rId6"/>
    <sheet name="CLIENT" sheetId="7" r:id="rId7"/>
    <sheet name="CONFIG" sheetId="8" r:id="rId8"/>
    <sheet name="FACTURE" sheetId="9" r:id="rId9"/>
    <sheet name="SECURITE" sheetId="11" r:id="rId10"/>
    <sheet name="COMMANDES" sheetId="12" r:id="rId11"/>
    <sheet name="DEPENSES CMD" sheetId="14" r:id="rId12"/>
  </sheets>
  <definedNames>
    <definedName name="Article">Tableau5[[#All],[Num Article]]</definedName>
    <definedName name="Articles">Tableau5[Num Article]</definedName>
    <definedName name="Categorie">Tableau6[[#All],[Colonne1]]</definedName>
    <definedName name="Client">Tableau13[[#All],[Nom]]</definedName>
    <definedName name="Clients">Tableau13[Nom]</definedName>
    <definedName name="color2">CONFIG!$L$18</definedName>
    <definedName name="Fournisseur">Tableau1[Nom]</definedName>
    <definedName name="nomart">Tableau5[Nom]</definedName>
    <definedName name="Oreder">Tableau3[Num Commande]</definedName>
    <definedName name="SOURCE1">Tableau5[[#Headers],[Num Article]:[Status]]</definedName>
    <definedName name="_xlnm.Print_Area" localSheetId="3">BONCMD!$A$4:$G$58</definedName>
    <definedName name="_xlnm.Print_Area" localSheetId="8">FACTURE!$A$3:$H$71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03" i="5" l="1"/>
  <c r="I102" i="5"/>
  <c r="H60" i="3"/>
  <c r="J60" i="3" a="1"/>
  <c r="J60" i="3" s="1"/>
  <c r="K60" i="3" s="1"/>
  <c r="F33" i="2"/>
  <c r="G33" i="2" s="1"/>
  <c r="I101" i="5"/>
  <c r="I100" i="5"/>
  <c r="I99" i="5"/>
  <c r="I98" i="5"/>
  <c r="I97" i="5"/>
  <c r="I96" i="5"/>
  <c r="I36" i="7"/>
  <c r="J36" i="7"/>
  <c r="H59" i="3"/>
  <c r="J59" i="3" a="1"/>
  <c r="J59" i="3" s="1"/>
  <c r="K59" i="3" s="1"/>
  <c r="H58" i="3"/>
  <c r="J58" i="3" a="1"/>
  <c r="J58" i="3" s="1"/>
  <c r="K58" i="3" s="1"/>
  <c r="H57" i="3"/>
  <c r="J57" i="3" a="1"/>
  <c r="J57" i="3" s="1"/>
  <c r="K57" i="3" s="1"/>
  <c r="F30" i="2"/>
  <c r="G30" i="2" s="1"/>
  <c r="F31" i="2"/>
  <c r="G31" i="2" s="1"/>
  <c r="F32" i="2"/>
  <c r="G32" i="2" s="1"/>
  <c r="I33" i="2" l="1"/>
  <c r="I32" i="2"/>
  <c r="I31" i="2"/>
  <c r="I30" i="2"/>
  <c r="F28" i="2"/>
  <c r="F29" i="2"/>
  <c r="I35" i="7" l="1"/>
  <c r="J35" i="7"/>
  <c r="I34" i="7" l="1"/>
  <c r="J34" i="7"/>
  <c r="I95" i="5" l="1"/>
  <c r="I94" i="5"/>
  <c r="H56" i="3"/>
  <c r="J56" i="3" a="1"/>
  <c r="J56" i="3" s="1"/>
  <c r="K56" i="3" s="1"/>
  <c r="I29" i="2" l="1"/>
  <c r="G29" i="2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H55" i="3"/>
  <c r="J55" i="3" a="1"/>
  <c r="J55" i="3" s="1"/>
  <c r="K55" i="3" s="1"/>
  <c r="H54" i="3"/>
  <c r="J54" i="3" a="1"/>
  <c r="J54" i="3" s="1"/>
  <c r="K54" i="3" s="1"/>
  <c r="B102" i="14"/>
  <c r="K32" i="8" s="1"/>
  <c r="H53" i="3"/>
  <c r="J53" i="3" a="1"/>
  <c r="J53" i="3" s="1"/>
  <c r="K53" i="3" s="1"/>
  <c r="H52" i="3"/>
  <c r="J52" i="3" a="1"/>
  <c r="J52" i="3" s="1"/>
  <c r="K52" i="3" s="1"/>
  <c r="H51" i="3"/>
  <c r="J51" i="3" a="1"/>
  <c r="J51" i="3" s="1"/>
  <c r="K51" i="3" s="1"/>
  <c r="H50" i="3"/>
  <c r="J50" i="3" a="1"/>
  <c r="J50" i="3" s="1"/>
  <c r="K50" i="3" s="1"/>
  <c r="H49" i="3"/>
  <c r="J49" i="3" a="1"/>
  <c r="J49" i="3" s="1"/>
  <c r="K49" i="3" s="1"/>
  <c r="H48" i="3"/>
  <c r="J48" i="3" a="1"/>
  <c r="J48" i="3" s="1"/>
  <c r="K48" i="3" s="1"/>
  <c r="H47" i="3"/>
  <c r="J47" i="3" a="1"/>
  <c r="J47" i="3" s="1"/>
  <c r="K47" i="3" s="1"/>
  <c r="H46" i="3"/>
  <c r="J46" i="3" a="1"/>
  <c r="J46" i="3" s="1"/>
  <c r="K46" i="3" s="1"/>
  <c r="H45" i="3"/>
  <c r="J45" i="3" a="1"/>
  <c r="J45" i="3" s="1"/>
  <c r="K45" i="3" s="1"/>
  <c r="H44" i="3"/>
  <c r="J44" i="3" a="1"/>
  <c r="J44" i="3" s="1"/>
  <c r="K44" i="3" s="1"/>
  <c r="H43" i="3"/>
  <c r="J43" i="3" a="1"/>
  <c r="J43" i="3" s="1"/>
  <c r="K43" i="3" s="1"/>
  <c r="H42" i="3"/>
  <c r="J42" i="3" a="1"/>
  <c r="J42" i="3" s="1"/>
  <c r="K42" i="3" s="1"/>
  <c r="H41" i="3"/>
  <c r="J41" i="3" a="1"/>
  <c r="J41" i="3" s="1"/>
  <c r="K41" i="3" s="1"/>
  <c r="H40" i="3"/>
  <c r="J40" i="3" a="1"/>
  <c r="J40" i="3" s="1"/>
  <c r="K40" i="3" s="1"/>
  <c r="H39" i="3"/>
  <c r="J39" i="3" a="1"/>
  <c r="J39" i="3" s="1"/>
  <c r="K39" i="3" s="1"/>
  <c r="H38" i="3"/>
  <c r="J38" i="3" a="1"/>
  <c r="J38" i="3" s="1"/>
  <c r="K38" i="3" s="1"/>
  <c r="H37" i="3"/>
  <c r="J37" i="3" a="1"/>
  <c r="J37" i="3" s="1"/>
  <c r="K37" i="3" s="1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I61" i="5" l="1"/>
  <c r="I33" i="7" l="1"/>
  <c r="J33" i="7"/>
  <c r="I60" i="5" l="1"/>
  <c r="E23" i="9" l="1" a="1"/>
  <c r="E23" i="9" s="1"/>
  <c r="E24" i="9" a="1"/>
  <c r="E24" i="9" s="1"/>
  <c r="E22" i="9" a="1"/>
  <c r="E22" i="9" s="1"/>
  <c r="E25" i="9" a="1"/>
  <c r="E25" i="9" s="1"/>
  <c r="E26" i="9" a="1"/>
  <c r="E26" i="9" s="1"/>
  <c r="E27" i="9" a="1"/>
  <c r="E27" i="9" s="1"/>
  <c r="E28" i="9" a="1"/>
  <c r="E28" i="9" s="1"/>
  <c r="E29" i="9" a="1"/>
  <c r="E29" i="9" s="1"/>
  <c r="E30" i="9" a="1"/>
  <c r="E30" i="9" s="1"/>
  <c r="E31" i="9" a="1"/>
  <c r="E31" i="9" s="1"/>
  <c r="E32" i="9" a="1"/>
  <c r="E32" i="9" s="1"/>
  <c r="E33" i="9" a="1"/>
  <c r="E33" i="9" s="1"/>
  <c r="E34" i="9" a="1"/>
  <c r="E34" i="9" s="1"/>
  <c r="E35" i="9" a="1"/>
  <c r="E35" i="9" s="1"/>
  <c r="E36" i="9" a="1"/>
  <c r="E36" i="9" s="1"/>
  <c r="E37" i="9" a="1"/>
  <c r="E37" i="9" s="1"/>
  <c r="E38" i="9" a="1"/>
  <c r="E38" i="9" s="1"/>
  <c r="E39" i="9" a="1"/>
  <c r="E39" i="9" s="1"/>
  <c r="E40" i="9" a="1"/>
  <c r="E40" i="9" s="1"/>
  <c r="E41" i="9" a="1"/>
  <c r="E41" i="9" s="1"/>
  <c r="E42" i="9" a="1"/>
  <c r="E42" i="9" s="1"/>
  <c r="E43" i="9" a="1"/>
  <c r="E43" i="9" s="1"/>
  <c r="E44" i="9" a="1"/>
  <c r="E44" i="9" s="1"/>
  <c r="E45" i="9" a="1"/>
  <c r="E45" i="9" s="1"/>
  <c r="E46" i="9" a="1"/>
  <c r="E46" i="9" s="1"/>
  <c r="E47" i="9" a="1"/>
  <c r="E47" i="9" s="1"/>
  <c r="D22" i="9" a="1"/>
  <c r="D22" i="9" s="1"/>
  <c r="D23" i="9" a="1"/>
  <c r="D23" i="9" s="1"/>
  <c r="D24" i="9" a="1"/>
  <c r="D24" i="9" s="1"/>
  <c r="D25" i="9" a="1"/>
  <c r="D25" i="9" s="1"/>
  <c r="D26" i="9" a="1"/>
  <c r="D26" i="9" s="1"/>
  <c r="D27" i="9" a="1"/>
  <c r="D27" i="9" s="1"/>
  <c r="D28" i="9" a="1"/>
  <c r="D28" i="9" s="1"/>
  <c r="D29" i="9" a="1"/>
  <c r="D29" i="9" s="1"/>
  <c r="D30" i="9" a="1"/>
  <c r="D30" i="9" s="1"/>
  <c r="D31" i="9" a="1"/>
  <c r="D31" i="9" s="1"/>
  <c r="D32" i="9" a="1"/>
  <c r="D32" i="9" s="1"/>
  <c r="D33" i="9" a="1"/>
  <c r="D33" i="9" s="1"/>
  <c r="D34" i="9" a="1"/>
  <c r="D34" i="9" s="1"/>
  <c r="D35" i="9" a="1"/>
  <c r="D35" i="9" s="1"/>
  <c r="D36" i="9" a="1"/>
  <c r="D36" i="9" s="1"/>
  <c r="D37" i="9" a="1"/>
  <c r="D37" i="9" s="1"/>
  <c r="D38" i="9" a="1"/>
  <c r="D38" i="9" s="1"/>
  <c r="D39" i="9" a="1"/>
  <c r="D39" i="9" s="1"/>
  <c r="D40" i="9" a="1"/>
  <c r="D40" i="9" s="1"/>
  <c r="D41" i="9" a="1"/>
  <c r="D41" i="9" s="1"/>
  <c r="D42" i="9" a="1"/>
  <c r="D42" i="9" s="1"/>
  <c r="D43" i="9" a="1"/>
  <c r="D43" i="9" s="1"/>
  <c r="D44" i="9" a="1"/>
  <c r="D44" i="9" s="1"/>
  <c r="D45" i="9" a="1"/>
  <c r="D45" i="9" s="1"/>
  <c r="D46" i="9" a="1"/>
  <c r="D46" i="9" s="1"/>
  <c r="D47" i="9" a="1"/>
  <c r="D47" i="9" s="1"/>
  <c r="C22" i="9" a="1"/>
  <c r="C22" i="9" s="1"/>
  <c r="C23" i="9" a="1"/>
  <c r="C23" i="9" s="1"/>
  <c r="C24" i="9" a="1"/>
  <c r="C24" i="9" s="1"/>
  <c r="C25" i="9" a="1"/>
  <c r="C25" i="9" s="1"/>
  <c r="C26" i="9" a="1"/>
  <c r="C26" i="9" s="1"/>
  <c r="C27" i="9" a="1"/>
  <c r="C27" i="9" s="1"/>
  <c r="C28" i="9" a="1"/>
  <c r="C28" i="9" s="1"/>
  <c r="C29" i="9" a="1"/>
  <c r="C29" i="9" s="1"/>
  <c r="C30" i="9" a="1"/>
  <c r="C30" i="9" s="1"/>
  <c r="C31" i="9" a="1"/>
  <c r="C31" i="9" s="1"/>
  <c r="C32" i="9" a="1"/>
  <c r="C32" i="9" s="1"/>
  <c r="C33" i="9" a="1"/>
  <c r="C33" i="9" s="1"/>
  <c r="C34" i="9" a="1"/>
  <c r="C34" i="9" s="1"/>
  <c r="C35" i="9" a="1"/>
  <c r="C35" i="9" s="1"/>
  <c r="C36" i="9" a="1"/>
  <c r="C36" i="9" s="1"/>
  <c r="C37" i="9" a="1"/>
  <c r="C37" i="9" s="1"/>
  <c r="C38" i="9" a="1"/>
  <c r="C38" i="9" s="1"/>
  <c r="C39" i="9" a="1"/>
  <c r="C39" i="9" s="1"/>
  <c r="C40" i="9" a="1"/>
  <c r="C40" i="9" s="1"/>
  <c r="C41" i="9" a="1"/>
  <c r="C41" i="9" s="1"/>
  <c r="C42" i="9" a="1"/>
  <c r="C42" i="9" s="1"/>
  <c r="C43" i="9" a="1"/>
  <c r="C43" i="9" s="1"/>
  <c r="C44" i="9" a="1"/>
  <c r="C44" i="9" s="1"/>
  <c r="C45" i="9" a="1"/>
  <c r="C45" i="9" s="1"/>
  <c r="C46" i="9" a="1"/>
  <c r="C46" i="9" s="1"/>
  <c r="C47" i="9" a="1"/>
  <c r="C47" i="9" s="1"/>
  <c r="F5" i="2" l="1"/>
  <c r="J5" i="2" s="1"/>
  <c r="J20" i="6"/>
  <c r="K20" i="6"/>
  <c r="J19" i="6"/>
  <c r="K19" i="6"/>
  <c r="J18" i="6"/>
  <c r="K18" i="6"/>
  <c r="J17" i="6"/>
  <c r="K17" i="6"/>
  <c r="G28" i="2" l="1"/>
  <c r="I28" i="2" l="1"/>
  <c r="G27" i="2"/>
  <c r="I27" i="2" l="1"/>
  <c r="G26" i="2"/>
  <c r="G25" i="2"/>
  <c r="I26" i="2" l="1"/>
  <c r="I25" i="2"/>
  <c r="G24" i="2"/>
  <c r="I24" i="2" l="1"/>
  <c r="I59" i="5"/>
  <c r="G23" i="2" l="1"/>
  <c r="I23" i="2"/>
  <c r="I58" i="5" l="1"/>
  <c r="G22" i="2" l="1"/>
  <c r="G21" i="2"/>
  <c r="G20" i="2"/>
  <c r="G19" i="2"/>
  <c r="H54" i="8"/>
  <c r="H55" i="8"/>
  <c r="H51" i="8"/>
  <c r="H53" i="8"/>
  <c r="H52" i="8"/>
  <c r="H47" i="8"/>
  <c r="H50" i="8"/>
  <c r="G18" i="2"/>
  <c r="G17" i="2"/>
  <c r="H49" i="8"/>
  <c r="I22" i="2" l="1"/>
  <c r="I21" i="2"/>
  <c r="I20" i="2"/>
  <c r="I19" i="2"/>
  <c r="I18" i="2"/>
  <c r="I17" i="2"/>
  <c r="G16" i="2"/>
  <c r="I16" i="2" l="1"/>
  <c r="G15" i="2"/>
  <c r="I15" i="2" l="1"/>
  <c r="I32" i="7"/>
  <c r="J32" i="7"/>
  <c r="I31" i="7" l="1"/>
  <c r="J31" i="7"/>
  <c r="I30" i="7"/>
  <c r="J30" i="7"/>
  <c r="I29" i="7"/>
  <c r="J29" i="7"/>
  <c r="I28" i="7"/>
  <c r="J28" i="7"/>
  <c r="I27" i="7"/>
  <c r="J27" i="7"/>
  <c r="H48" i="8" l="1"/>
  <c r="I57" i="5"/>
  <c r="H36" i="3"/>
  <c r="J36" i="3" a="1"/>
  <c r="J36" i="3" s="1"/>
  <c r="K36" i="3" s="1"/>
  <c r="I56" i="5"/>
  <c r="H35" i="3" l="1"/>
  <c r="J35" i="3" a="1"/>
  <c r="J35" i="3" s="1"/>
  <c r="K35" i="3" s="1"/>
  <c r="H34" i="3"/>
  <c r="J34" i="3" a="1"/>
  <c r="J34" i="3" s="1"/>
  <c r="K34" i="3" s="1"/>
  <c r="H33" i="3"/>
  <c r="J33" i="3" a="1"/>
  <c r="J33" i="3" s="1"/>
  <c r="K33" i="3" s="1"/>
  <c r="I55" i="5"/>
  <c r="I54" i="5"/>
  <c r="I53" i="5"/>
  <c r="I52" i="5" l="1"/>
  <c r="I51" i="5"/>
  <c r="I50" i="5"/>
  <c r="I49" i="5"/>
  <c r="I48" i="5" l="1"/>
  <c r="I47" i="5" l="1"/>
  <c r="I46" i="5"/>
  <c r="I45" i="5"/>
  <c r="I44" i="5"/>
  <c r="I43" i="5"/>
  <c r="I42" i="5"/>
  <c r="I41" i="5"/>
  <c r="H32" i="3"/>
  <c r="J32" i="3" a="1"/>
  <c r="J32" i="3" s="1"/>
  <c r="K32" i="3" s="1"/>
  <c r="H31" i="3"/>
  <c r="J31" i="3" a="1"/>
  <c r="J31" i="3" s="1"/>
  <c r="K31" i="3" s="1"/>
  <c r="H30" i="3"/>
  <c r="J30" i="3" a="1"/>
  <c r="J30" i="3" s="1"/>
  <c r="K30" i="3" s="1"/>
  <c r="H29" i="3"/>
  <c r="J29" i="3" a="1"/>
  <c r="J29" i="3" s="1"/>
  <c r="K29" i="3" s="1"/>
  <c r="F9" i="2"/>
  <c r="F10" i="2"/>
  <c r="F11" i="2"/>
  <c r="F12" i="2"/>
  <c r="F13" i="2"/>
  <c r="F14" i="2"/>
  <c r="I40" i="5"/>
  <c r="I39" i="5"/>
  <c r="I26" i="7"/>
  <c r="J26" i="7"/>
  <c r="E19" i="8" l="1"/>
  <c r="G14" i="2"/>
  <c r="G13" i="2"/>
  <c r="I14" i="2" l="1"/>
  <c r="G12" i="2"/>
  <c r="G11" i="2"/>
  <c r="G10" i="2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D36" i="8" l="1"/>
  <c r="I13" i="2"/>
  <c r="I12" i="2"/>
  <c r="I11" i="2"/>
  <c r="I10" i="2"/>
  <c r="I32" i="8"/>
  <c r="H28" i="3"/>
  <c r="J28" i="3" a="1"/>
  <c r="J28" i="3" s="1"/>
  <c r="K28" i="3" s="1"/>
  <c r="H27" i="3"/>
  <c r="J27" i="3" a="1"/>
  <c r="J27" i="3" s="1"/>
  <c r="K27" i="3" s="1"/>
  <c r="H26" i="3"/>
  <c r="J26" i="3" a="1"/>
  <c r="J26" i="3" s="1"/>
  <c r="K26" i="3" s="1"/>
  <c r="H25" i="3"/>
  <c r="J25" i="3" a="1"/>
  <c r="J25" i="3" s="1"/>
  <c r="K25" i="3" s="1"/>
  <c r="H24" i="3"/>
  <c r="J24" i="3" a="1"/>
  <c r="J24" i="3" s="1"/>
  <c r="K24" i="3" s="1"/>
  <c r="H23" i="3"/>
  <c r="J23" i="3" a="1"/>
  <c r="J23" i="3" s="1"/>
  <c r="K23" i="3" s="1"/>
  <c r="H22" i="3"/>
  <c r="J22" i="3" a="1"/>
  <c r="J22" i="3" s="1"/>
  <c r="K22" i="3" s="1"/>
  <c r="H32" i="8"/>
  <c r="I31" i="8"/>
  <c r="H31" i="8"/>
  <c r="J16" i="6"/>
  <c r="K16" i="6"/>
  <c r="K11" i="6"/>
  <c r="K12" i="6"/>
  <c r="K13" i="6"/>
  <c r="K14" i="6"/>
  <c r="K15" i="6"/>
  <c r="K10" i="6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H21" i="3"/>
  <c r="J21" i="3" a="1"/>
  <c r="J21" i="3" s="1"/>
  <c r="K21" i="3" s="1"/>
  <c r="I10" i="7"/>
  <c r="I25" i="7"/>
  <c r="J32" i="8" l="1"/>
  <c r="K33" i="8" s="1"/>
  <c r="I37" i="1" s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J20" i="3" a="1"/>
  <c r="J20" i="3" s="1"/>
  <c r="K20" i="3" s="1"/>
  <c r="J19" i="3" a="1"/>
  <c r="J19" i="3" s="1"/>
  <c r="K19" i="3" s="1"/>
  <c r="B23" i="9" l="1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E21" i="9" a="1"/>
  <c r="E21" i="9" s="1"/>
  <c r="B22" i="9"/>
  <c r="D24" i="4" a="1"/>
  <c r="D24" i="4" s="1"/>
  <c r="J18" i="3" a="1"/>
  <c r="J18" i="3" s="1"/>
  <c r="K18" i="3" s="1"/>
  <c r="J17" i="3" a="1"/>
  <c r="J17" i="3" s="1"/>
  <c r="K17" i="3" s="1"/>
  <c r="J16" i="3" a="1"/>
  <c r="J16" i="3" s="1"/>
  <c r="K16" i="3" s="1"/>
  <c r="J15" i="3" a="1"/>
  <c r="J15" i="3" s="1"/>
  <c r="K15" i="3" s="1"/>
  <c r="J14" i="3" a="1"/>
  <c r="J14" i="3" s="1"/>
  <c r="K14" i="3" s="1"/>
  <c r="J13" i="3" a="1"/>
  <c r="J13" i="3" s="1"/>
  <c r="K13" i="3" s="1"/>
  <c r="J12" i="3" a="1"/>
  <c r="J12" i="3" s="1"/>
  <c r="K12" i="3" s="1"/>
  <c r="F36" i="8" l="1"/>
  <c r="E36" i="8"/>
  <c r="F42" i="9"/>
  <c r="F38" i="9"/>
  <c r="F34" i="9"/>
  <c r="F30" i="9"/>
  <c r="F26" i="9"/>
  <c r="F45" i="9"/>
  <c r="F41" i="9"/>
  <c r="F37" i="9"/>
  <c r="F33" i="9"/>
  <c r="F29" i="9"/>
  <c r="F25" i="9"/>
  <c r="F46" i="9"/>
  <c r="F44" i="9"/>
  <c r="F40" i="9"/>
  <c r="F36" i="9"/>
  <c r="F32" i="9"/>
  <c r="F28" i="9"/>
  <c r="F24" i="9"/>
  <c r="F47" i="9"/>
  <c r="F43" i="9"/>
  <c r="F39" i="9"/>
  <c r="F35" i="9"/>
  <c r="F31" i="9"/>
  <c r="F27" i="9"/>
  <c r="F23" i="9"/>
  <c r="F22" i="9"/>
  <c r="E13" i="9"/>
  <c r="G5" i="2"/>
  <c r="F6" i="2"/>
  <c r="G6" i="2" s="1"/>
  <c r="F7" i="2"/>
  <c r="G7" i="2" s="1"/>
  <c r="F8" i="2"/>
  <c r="G8" i="2" s="1"/>
  <c r="G9" i="2"/>
  <c r="J11" i="3" a="1"/>
  <c r="J11" i="3" s="1"/>
  <c r="K11" i="3" s="1"/>
  <c r="J10" i="3" a="1"/>
  <c r="J10" i="3" s="1"/>
  <c r="K10" i="3" s="1"/>
  <c r="J9" i="3" a="1"/>
  <c r="J9" i="3" s="1"/>
  <c r="K9" i="3" s="1"/>
  <c r="J8" i="3" a="1"/>
  <c r="J8" i="3" s="1"/>
  <c r="K8" i="3" s="1"/>
  <c r="J7" i="3" a="1"/>
  <c r="J7" i="3" s="1"/>
  <c r="K7" i="3" s="1"/>
  <c r="J6" i="3" a="1"/>
  <c r="J6" i="3" s="1"/>
  <c r="K6" i="3" s="1"/>
  <c r="J8" i="2" l="1"/>
  <c r="J6" i="2"/>
  <c r="J7" i="2"/>
  <c r="J9" i="2"/>
  <c r="D32" i="8"/>
  <c r="D35" i="8"/>
  <c r="I5" i="2"/>
  <c r="F51" i="9"/>
  <c r="F52" i="9" s="1"/>
  <c r="F53" i="9" s="1"/>
  <c r="I9" i="2"/>
  <c r="G27" i="4" a="1"/>
  <c r="G27" i="4" s="1"/>
  <c r="G28" i="4" a="1"/>
  <c r="G28" i="4" s="1"/>
  <c r="G29" i="4" a="1"/>
  <c r="G29" i="4" s="1"/>
  <c r="G30" i="4" a="1"/>
  <c r="G30" i="4" s="1"/>
  <c r="G31" i="4" a="1"/>
  <c r="G31" i="4" s="1"/>
  <c r="G32" i="4" a="1"/>
  <c r="G32" i="4" s="1"/>
  <c r="G33" i="4" a="1"/>
  <c r="G33" i="4" s="1"/>
  <c r="G34" i="4" a="1"/>
  <c r="G34" i="4" s="1"/>
  <c r="G35" i="4" a="1"/>
  <c r="G35" i="4" s="1"/>
  <c r="G36" i="4" a="1"/>
  <c r="G36" i="4" s="1"/>
  <c r="G37" i="4" a="1"/>
  <c r="G37" i="4" s="1"/>
  <c r="G38" i="4" a="1"/>
  <c r="G38" i="4" s="1"/>
  <c r="G39" i="4" a="1"/>
  <c r="G39" i="4" s="1"/>
  <c r="G40" i="4" a="1"/>
  <c r="G40" i="4" s="1"/>
  <c r="G41" i="4" a="1"/>
  <c r="G41" i="4" s="1"/>
  <c r="G42" i="4" a="1"/>
  <c r="G42" i="4" s="1"/>
  <c r="G43" i="4" a="1"/>
  <c r="G43" i="4" s="1"/>
  <c r="G44" i="4" a="1"/>
  <c r="G44" i="4" s="1"/>
  <c r="G45" i="4" a="1"/>
  <c r="G45" i="4" s="1"/>
  <c r="G46" i="4" a="1"/>
  <c r="G46" i="4" s="1"/>
  <c r="G47" i="4" a="1"/>
  <c r="G47" i="4" s="1"/>
  <c r="F27" i="4" a="1"/>
  <c r="F27" i="4" s="1"/>
  <c r="F28" i="4" a="1"/>
  <c r="F28" i="4" s="1"/>
  <c r="F29" i="4" a="1"/>
  <c r="F29" i="4" s="1"/>
  <c r="F30" i="4" a="1"/>
  <c r="F30" i="4" s="1"/>
  <c r="F31" i="4" a="1"/>
  <c r="F31" i="4" s="1"/>
  <c r="F32" i="4" a="1"/>
  <c r="F32" i="4" s="1"/>
  <c r="F33" i="4" a="1"/>
  <c r="F33" i="4" s="1"/>
  <c r="F34" i="4" a="1"/>
  <c r="F34" i="4" s="1"/>
  <c r="F35" i="4" a="1"/>
  <c r="F35" i="4" s="1"/>
  <c r="F36" i="4" a="1"/>
  <c r="F36" i="4" s="1"/>
  <c r="F37" i="4" a="1"/>
  <c r="F37" i="4" s="1"/>
  <c r="F38" i="4" a="1"/>
  <c r="F38" i="4" s="1"/>
  <c r="F39" i="4" a="1"/>
  <c r="F39" i="4" s="1"/>
  <c r="F40" i="4" a="1"/>
  <c r="F40" i="4" s="1"/>
  <c r="F41" i="4" a="1"/>
  <c r="F41" i="4" s="1"/>
  <c r="F42" i="4" a="1"/>
  <c r="F42" i="4" s="1"/>
  <c r="F43" i="4" a="1"/>
  <c r="F43" i="4" s="1"/>
  <c r="F44" i="4" a="1"/>
  <c r="F44" i="4" s="1"/>
  <c r="F45" i="4" a="1"/>
  <c r="F45" i="4" s="1"/>
  <c r="F46" i="4" a="1"/>
  <c r="F46" i="4" s="1"/>
  <c r="F47" i="4" a="1"/>
  <c r="F47" i="4" s="1"/>
  <c r="F26" i="4" a="1"/>
  <c r="F26" i="4" s="1"/>
  <c r="E27" i="4" a="1"/>
  <c r="E27" i="4" s="1"/>
  <c r="E28" i="4" a="1"/>
  <c r="E28" i="4" s="1"/>
  <c r="E29" i="4" a="1"/>
  <c r="E29" i="4" s="1"/>
  <c r="E30" i="4" a="1"/>
  <c r="E30" i="4" s="1"/>
  <c r="E31" i="4" a="1"/>
  <c r="E31" i="4" s="1"/>
  <c r="E32" i="4" a="1"/>
  <c r="E32" i="4" s="1"/>
  <c r="E33" i="4" a="1"/>
  <c r="E33" i="4" s="1"/>
  <c r="E34" i="4" a="1"/>
  <c r="E34" i="4" s="1"/>
  <c r="E35" i="4" a="1"/>
  <c r="E35" i="4" s="1"/>
  <c r="E36" i="4" a="1"/>
  <c r="E36" i="4" s="1"/>
  <c r="E37" i="4" a="1"/>
  <c r="E37" i="4" s="1"/>
  <c r="E38" i="4" a="1"/>
  <c r="E38" i="4" s="1"/>
  <c r="E39" i="4" a="1"/>
  <c r="E39" i="4" s="1"/>
  <c r="E40" i="4" a="1"/>
  <c r="E40" i="4" s="1"/>
  <c r="E41" i="4" a="1"/>
  <c r="E41" i="4" s="1"/>
  <c r="E42" i="4" a="1"/>
  <c r="E42" i="4" s="1"/>
  <c r="E43" i="4" a="1"/>
  <c r="E43" i="4" s="1"/>
  <c r="E44" i="4" a="1"/>
  <c r="E44" i="4" s="1"/>
  <c r="E45" i="4" a="1"/>
  <c r="E45" i="4" s="1"/>
  <c r="E46" i="4" a="1"/>
  <c r="E46" i="4" s="1"/>
  <c r="E47" i="4" a="1"/>
  <c r="E47" i="4" s="1"/>
  <c r="E26" i="4" a="1"/>
  <c r="E26" i="4" s="1"/>
  <c r="D27" i="4" a="1"/>
  <c r="D27" i="4" s="1"/>
  <c r="D28" i="4" a="1"/>
  <c r="D28" i="4" s="1"/>
  <c r="D29" i="4" a="1"/>
  <c r="D29" i="4" s="1"/>
  <c r="D30" i="4" a="1"/>
  <c r="D30" i="4" s="1"/>
  <c r="D31" i="4" a="1"/>
  <c r="D31" i="4" s="1"/>
  <c r="D32" i="4" a="1"/>
  <c r="D32" i="4" s="1"/>
  <c r="D33" i="4" a="1"/>
  <c r="D33" i="4" s="1"/>
  <c r="D34" i="4" a="1"/>
  <c r="D34" i="4" s="1"/>
  <c r="D35" i="4" a="1"/>
  <c r="D35" i="4" s="1"/>
  <c r="D36" i="4" a="1"/>
  <c r="D36" i="4" s="1"/>
  <c r="D37" i="4" a="1"/>
  <c r="D37" i="4" s="1"/>
  <c r="D38" i="4" a="1"/>
  <c r="D38" i="4" s="1"/>
  <c r="D39" i="4" a="1"/>
  <c r="D39" i="4" s="1"/>
  <c r="D40" i="4" a="1"/>
  <c r="D40" i="4" s="1"/>
  <c r="D41" i="4" a="1"/>
  <c r="D41" i="4" s="1"/>
  <c r="D42" i="4" a="1"/>
  <c r="D42" i="4" s="1"/>
  <c r="D43" i="4" a="1"/>
  <c r="D43" i="4" s="1"/>
  <c r="D44" i="4" a="1"/>
  <c r="D44" i="4" s="1"/>
  <c r="D45" i="4" a="1"/>
  <c r="D45" i="4" s="1"/>
  <c r="D46" i="4" a="1"/>
  <c r="D46" i="4" s="1"/>
  <c r="D47" i="4" a="1"/>
  <c r="D47" i="4" s="1"/>
  <c r="D26" i="4" a="1"/>
  <c r="D26" i="4" s="1"/>
  <c r="C27" i="4" a="1"/>
  <c r="C27" i="4" s="1"/>
  <c r="B27" i="4" s="1"/>
  <c r="C28" i="4" a="1"/>
  <c r="C28" i="4" s="1"/>
  <c r="B28" i="4" s="1"/>
  <c r="C29" i="4" a="1"/>
  <c r="C29" i="4" s="1"/>
  <c r="B29" i="4" s="1"/>
  <c r="C30" i="4" a="1"/>
  <c r="C30" i="4" s="1"/>
  <c r="B30" i="4" s="1"/>
  <c r="C31" i="4" a="1"/>
  <c r="C31" i="4" s="1"/>
  <c r="B31" i="4" s="1"/>
  <c r="C32" i="4" a="1"/>
  <c r="C32" i="4" s="1"/>
  <c r="B32" i="4" s="1"/>
  <c r="C33" i="4" a="1"/>
  <c r="C33" i="4" s="1"/>
  <c r="B33" i="4" s="1"/>
  <c r="C34" i="4" a="1"/>
  <c r="C34" i="4" s="1"/>
  <c r="B34" i="4" s="1"/>
  <c r="C35" i="4" a="1"/>
  <c r="C35" i="4" s="1"/>
  <c r="B35" i="4" s="1"/>
  <c r="C36" i="4" a="1"/>
  <c r="C36" i="4" s="1"/>
  <c r="B36" i="4" s="1"/>
  <c r="C37" i="4" a="1"/>
  <c r="C37" i="4" s="1"/>
  <c r="B37" i="4" s="1"/>
  <c r="C38" i="4" a="1"/>
  <c r="C38" i="4" s="1"/>
  <c r="B38" i="4" s="1"/>
  <c r="C39" i="4" a="1"/>
  <c r="C39" i="4" s="1"/>
  <c r="B39" i="4" s="1"/>
  <c r="C40" i="4" a="1"/>
  <c r="C40" i="4" s="1"/>
  <c r="B40" i="4" s="1"/>
  <c r="C41" i="4" a="1"/>
  <c r="C41" i="4" s="1"/>
  <c r="B41" i="4" s="1"/>
  <c r="C42" i="4" a="1"/>
  <c r="C42" i="4" s="1"/>
  <c r="B42" i="4" s="1"/>
  <c r="C43" i="4" a="1"/>
  <c r="C43" i="4" s="1"/>
  <c r="B43" i="4" s="1"/>
  <c r="C44" i="4" a="1"/>
  <c r="C44" i="4" s="1"/>
  <c r="B44" i="4" s="1"/>
  <c r="C45" i="4" a="1"/>
  <c r="C45" i="4" s="1"/>
  <c r="B45" i="4" s="1"/>
  <c r="C46" i="4" a="1"/>
  <c r="C46" i="4" s="1"/>
  <c r="B46" i="4" s="1"/>
  <c r="C47" i="4" a="1"/>
  <c r="C47" i="4" s="1"/>
  <c r="B47" i="4" s="1"/>
  <c r="C26" i="4" a="1"/>
  <c r="C26" i="4" s="1"/>
  <c r="B26" i="4" s="1"/>
  <c r="C25" i="4" a="1"/>
  <c r="C25" i="4" s="1"/>
  <c r="B25" i="4" s="1"/>
  <c r="D25" i="4" a="1"/>
  <c r="D25" i="4" s="1"/>
  <c r="E25" i="4" a="1"/>
  <c r="E25" i="4" s="1"/>
  <c r="F25" i="4" a="1"/>
  <c r="F25" i="4" s="1"/>
  <c r="E24" i="4" a="1"/>
  <c r="E24" i="4" s="1"/>
  <c r="G26" i="4" a="1"/>
  <c r="G26" i="4" s="1"/>
  <c r="G25" i="4" a="1"/>
  <c r="G25" i="4" s="1"/>
  <c r="D34" i="8" l="1"/>
  <c r="D31" i="8"/>
  <c r="G20" i="4"/>
  <c r="G19" i="4"/>
  <c r="G18" i="4"/>
  <c r="G17" i="4"/>
  <c r="G16" i="4"/>
  <c r="G15" i="4"/>
  <c r="C24" i="4" a="1"/>
  <c r="C24" i="4" s="1"/>
  <c r="B24" i="4" s="1"/>
  <c r="C17" i="4"/>
  <c r="F24" i="4" a="1"/>
  <c r="F24" i="4" s="1"/>
  <c r="G11" i="4" a="1"/>
  <c r="G11" i="4" s="1"/>
  <c r="G24" i="4" a="1"/>
  <c r="G24" i="4" s="1"/>
  <c r="G52" i="4" l="1"/>
  <c r="I8" i="2"/>
  <c r="I7" i="2"/>
  <c r="J11" i="6"/>
  <c r="J12" i="6"/>
  <c r="J13" i="6"/>
  <c r="J14" i="6"/>
  <c r="J15" i="6"/>
  <c r="J10" i="6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G53" i="4" l="1"/>
  <c r="G54" i="4" s="1"/>
  <c r="I6" i="2"/>
  <c r="D33" i="8" l="1"/>
</calcChain>
</file>

<file path=xl/sharedStrings.xml><?xml version="1.0" encoding="utf-8"?>
<sst xmlns="http://schemas.openxmlformats.org/spreadsheetml/2006/main" count="1436" uniqueCount="499">
  <si>
    <t>Nom</t>
  </si>
  <si>
    <t>Adresse</t>
  </si>
  <si>
    <t>Ville</t>
  </si>
  <si>
    <t>Pays</t>
  </si>
  <si>
    <t>Telephone</t>
  </si>
  <si>
    <t>Mail</t>
  </si>
  <si>
    <t>Group</t>
  </si>
  <si>
    <t>Code Postal</t>
  </si>
  <si>
    <t>Cameroun</t>
  </si>
  <si>
    <t>Prix Unitaire</t>
  </si>
  <si>
    <t>Valeur Stock</t>
  </si>
  <si>
    <t>Stock Min</t>
  </si>
  <si>
    <t>Flag</t>
  </si>
  <si>
    <t>7</t>
  </si>
  <si>
    <t>8</t>
  </si>
  <si>
    <t>9</t>
  </si>
  <si>
    <t>10</t>
  </si>
  <si>
    <t>11</t>
  </si>
  <si>
    <t>Suffixe</t>
  </si>
  <si>
    <t>Article</t>
  </si>
  <si>
    <t>ART-</t>
  </si>
  <si>
    <t>Status</t>
  </si>
  <si>
    <t>ART-00004</t>
  </si>
  <si>
    <t>KINDER BUENO</t>
  </si>
  <si>
    <t>ART-00005</t>
  </si>
  <si>
    <t>SAVON MADAR</t>
  </si>
  <si>
    <t>ART-00006</t>
  </si>
  <si>
    <t>SMART CITRON(petit)</t>
  </si>
  <si>
    <t>ART-00007</t>
  </si>
  <si>
    <t>FANTA RED</t>
  </si>
  <si>
    <t>Atangana Client 1</t>
  </si>
  <si>
    <t>Atangana Client 2</t>
  </si>
  <si>
    <t>Atangana Client 3</t>
  </si>
  <si>
    <t>Atangana Client 4</t>
  </si>
  <si>
    <t>Atangana Client 5</t>
  </si>
  <si>
    <t>Atangana Client 6</t>
  </si>
  <si>
    <t>Atangana Client 7</t>
  </si>
  <si>
    <t>Atangana Client 8</t>
  </si>
  <si>
    <t>Atangana Client 9</t>
  </si>
  <si>
    <t>Atangana Client 10</t>
  </si>
  <si>
    <t>Atangana Client 11</t>
  </si>
  <si>
    <t>Atangana Client 12</t>
  </si>
  <si>
    <t>Atangana Client 13</t>
  </si>
  <si>
    <t>Atangana Client 14</t>
  </si>
  <si>
    <t>Atangana Client 15</t>
  </si>
  <si>
    <t>atanganajules90@gmail.com 1</t>
  </si>
  <si>
    <t>Bonamikano 1</t>
  </si>
  <si>
    <t>Bonaberi 1</t>
  </si>
  <si>
    <t>Bonamikano 2</t>
  </si>
  <si>
    <t>Bonaberi 2</t>
  </si>
  <si>
    <t>atanganajules90@gmail.com 2</t>
  </si>
  <si>
    <t>Bonamikano 3</t>
  </si>
  <si>
    <t>Bonaberi 3</t>
  </si>
  <si>
    <t>atanganajules90@gmail.com 3</t>
  </si>
  <si>
    <t>Bonamikano 4</t>
  </si>
  <si>
    <t>Bonaberi 4</t>
  </si>
  <si>
    <t>atanganajules90@gmail.com 4</t>
  </si>
  <si>
    <t>Bonamikano 5</t>
  </si>
  <si>
    <t>Bonaberi 5</t>
  </si>
  <si>
    <t>atanganajules90@gmail.com 5</t>
  </si>
  <si>
    <t>Bonamikano 7</t>
  </si>
  <si>
    <t>Bonaberi 7</t>
  </si>
  <si>
    <t>atanganajules90@gmail.com 7</t>
  </si>
  <si>
    <t>Bonamikano 8</t>
  </si>
  <si>
    <t>Bonaberi 8</t>
  </si>
  <si>
    <t>atanganajules90@gmail.com 8</t>
  </si>
  <si>
    <t>Bonamikano 9</t>
  </si>
  <si>
    <t>Bonaberi 9</t>
  </si>
  <si>
    <t>atanganajules90@gmail.com 9</t>
  </si>
  <si>
    <t>Bonamikano 10</t>
  </si>
  <si>
    <t>Bonaberi 10</t>
  </si>
  <si>
    <t>atanganajules90@gmail.com 10</t>
  </si>
  <si>
    <t>Bonamikano 11</t>
  </si>
  <si>
    <t>Bonaberi 11</t>
  </si>
  <si>
    <t>atanganajules90@gmail.com 11</t>
  </si>
  <si>
    <t>Bonamikano 12</t>
  </si>
  <si>
    <t>Bonaberi 12</t>
  </si>
  <si>
    <t>atanganajules90@gmail.com 12</t>
  </si>
  <si>
    <t>Bonamikano 13</t>
  </si>
  <si>
    <t>Bonaberi 13</t>
  </si>
  <si>
    <t>atanganajules90@gmail.com 13</t>
  </si>
  <si>
    <t>Bonamikano 14</t>
  </si>
  <si>
    <t>Bonaberi 14</t>
  </si>
  <si>
    <t>atanganajules90@gmail.com 14</t>
  </si>
  <si>
    <t>Bonamikano 15</t>
  </si>
  <si>
    <t>Bonaberi 15</t>
  </si>
  <si>
    <t>atanganajules90@gmail.com 15</t>
  </si>
  <si>
    <t>Atangana Client 16</t>
  </si>
  <si>
    <t>Bonamikano 16</t>
  </si>
  <si>
    <t>Bonaberi 16</t>
  </si>
  <si>
    <t>atanganajules90@gmail.com 16</t>
  </si>
  <si>
    <t>11 +</t>
  </si>
  <si>
    <t>Date</t>
  </si>
  <si>
    <t>Quantite</t>
  </si>
  <si>
    <t>Prix</t>
  </si>
  <si>
    <t>Prix Total</t>
  </si>
  <si>
    <t>Fournisseur</t>
  </si>
  <si>
    <t>Fournisseur 1</t>
  </si>
  <si>
    <t>Santos 1</t>
  </si>
  <si>
    <t>Besseke 1</t>
  </si>
  <si>
    <t>kermmaddog90@gmail.com 1</t>
  </si>
  <si>
    <t>Fournisseur 2</t>
  </si>
  <si>
    <t>Santos 2</t>
  </si>
  <si>
    <t>Besseke 2</t>
  </si>
  <si>
    <t>Fournisseur 3</t>
  </si>
  <si>
    <t>Santos 3</t>
  </si>
  <si>
    <t>Besseke 3</t>
  </si>
  <si>
    <t>kermmaddog90@gmail.com 3</t>
  </si>
  <si>
    <t>Fournisseur 4</t>
  </si>
  <si>
    <t>Santos 4</t>
  </si>
  <si>
    <t>Besseke 4</t>
  </si>
  <si>
    <t>kermmaddog90@gmail.com 4</t>
  </si>
  <si>
    <t>Fournisseur 5</t>
  </si>
  <si>
    <t>Santos 5</t>
  </si>
  <si>
    <t>Besseke 5</t>
  </si>
  <si>
    <t>kermmaddog90@gmail.com 5</t>
  </si>
  <si>
    <t>Fournisseur 6</t>
  </si>
  <si>
    <t>Santos 6</t>
  </si>
  <si>
    <t>Besseke 6</t>
  </si>
  <si>
    <t>Fournisseur 7</t>
  </si>
  <si>
    <t>Fournisseur 8</t>
  </si>
  <si>
    <t>Santos 8</t>
  </si>
  <si>
    <t>Besseke 8</t>
  </si>
  <si>
    <t>kermmaddog90@gmail.com 8</t>
  </si>
  <si>
    <t>Douala 1</t>
  </si>
  <si>
    <t>Douala 2</t>
  </si>
  <si>
    <t>Douala 3</t>
  </si>
  <si>
    <t>Douala 4</t>
  </si>
  <si>
    <t>Douala 5</t>
  </si>
  <si>
    <t>Douala 6</t>
  </si>
  <si>
    <t>Douala 8</t>
  </si>
  <si>
    <t>Fournisseur 9</t>
  </si>
  <si>
    <t>Santos 9</t>
  </si>
  <si>
    <t>Besseke 9</t>
  </si>
  <si>
    <t>Douala 9</t>
  </si>
  <si>
    <t>Fournisseur 10</t>
  </si>
  <si>
    <t>Santos 10</t>
  </si>
  <si>
    <t>Besseke 10</t>
  </si>
  <si>
    <t>Douala 10</t>
  </si>
  <si>
    <t>kermmaddog90@gmail.com 10</t>
  </si>
  <si>
    <t>ART-00008</t>
  </si>
  <si>
    <t>Colgate</t>
  </si>
  <si>
    <t>Order</t>
  </si>
  <si>
    <t>ORD-</t>
  </si>
  <si>
    <t>ART-00009</t>
  </si>
  <si>
    <t>Parle G (petit)</t>
  </si>
  <si>
    <t>Total</t>
  </si>
  <si>
    <t>Tous les moyens de paiements sont pris.</t>
  </si>
  <si>
    <t>Merci de faire confiance a nos equipes</t>
  </si>
  <si>
    <t>Total :</t>
  </si>
  <si>
    <t>TVA 20% :</t>
  </si>
  <si>
    <t>Total TTC :</t>
  </si>
  <si>
    <t>Date :</t>
  </si>
  <si>
    <t>Fournisseur :</t>
  </si>
  <si>
    <t>Num</t>
  </si>
  <si>
    <t>Num Article</t>
  </si>
  <si>
    <t>Num Commande</t>
  </si>
  <si>
    <t>ORD-0003</t>
  </si>
  <si>
    <t>ORD-0001</t>
  </si>
  <si>
    <t>ORD-0002</t>
  </si>
  <si>
    <t>BON DE COMMANDE</t>
  </si>
  <si>
    <t>Nom Entreprise :</t>
  </si>
  <si>
    <t>Fareno Transit</t>
  </si>
  <si>
    <t>giffarenocorps05@gmail.com</t>
  </si>
  <si>
    <t>ORD-0005</t>
  </si>
  <si>
    <t>ORD-0006</t>
  </si>
  <si>
    <t>ART-00010</t>
  </si>
  <si>
    <t>33 EXPORT</t>
  </si>
  <si>
    <t>Type</t>
  </si>
  <si>
    <t>Num Facture</t>
  </si>
  <si>
    <t>Num Bon de Commande</t>
  </si>
  <si>
    <t>Client</t>
  </si>
  <si>
    <t>Booking</t>
  </si>
  <si>
    <t>BOO-</t>
  </si>
  <si>
    <t>Contrôle</t>
  </si>
  <si>
    <t>Check</t>
  </si>
  <si>
    <t>BOO-0007</t>
  </si>
  <si>
    <t>Num 1</t>
  </si>
  <si>
    <t>BOO-0008</t>
  </si>
  <si>
    <t>Num 2</t>
  </si>
  <si>
    <t>BOO-0009</t>
  </si>
  <si>
    <t>Num 3</t>
  </si>
  <si>
    <t>BOO-0010</t>
  </si>
  <si>
    <t>Num 4</t>
  </si>
  <si>
    <t/>
  </si>
  <si>
    <t>Code Booking</t>
  </si>
  <si>
    <t>Ranking</t>
  </si>
  <si>
    <t>Sortie</t>
  </si>
  <si>
    <t>Entree</t>
  </si>
  <si>
    <t>BOO-0012</t>
  </si>
  <si>
    <t>Num 7</t>
  </si>
  <si>
    <t>ORD-0007</t>
  </si>
  <si>
    <t>BOO-0019</t>
  </si>
  <si>
    <t>Num 12</t>
  </si>
  <si>
    <t>Num Facture :</t>
  </si>
  <si>
    <t>Nom Article</t>
  </si>
  <si>
    <t>Num 23</t>
  </si>
  <si>
    <t>Prix unitaire</t>
  </si>
  <si>
    <t>MERCI ET A BIENTOT !!!</t>
  </si>
  <si>
    <t>Tableau de bord</t>
  </si>
  <si>
    <t>Widget 1</t>
  </si>
  <si>
    <t>Widget 2</t>
  </si>
  <si>
    <t>Widget 3</t>
  </si>
  <si>
    <t>Widget 4</t>
  </si>
  <si>
    <t>Widget 5</t>
  </si>
  <si>
    <t>Widget 6</t>
  </si>
  <si>
    <t>Valeur du stock</t>
  </si>
  <si>
    <t>Article en commande</t>
  </si>
  <si>
    <t>Article critique</t>
  </si>
  <si>
    <t>Quantite Stock</t>
  </si>
  <si>
    <t>Volume Stock</t>
  </si>
  <si>
    <t>Top 3 des Articles Vendus</t>
  </si>
  <si>
    <t>BOO-0001</t>
  </si>
  <si>
    <t>Num 222</t>
  </si>
  <si>
    <t>BOO-0002</t>
  </si>
  <si>
    <t>BOO-0003</t>
  </si>
  <si>
    <t>Num 34</t>
  </si>
  <si>
    <t>N* 1 :</t>
  </si>
  <si>
    <t>N*2 :</t>
  </si>
  <si>
    <t>N*3 :</t>
  </si>
  <si>
    <t>BOO-0004</t>
  </si>
  <si>
    <t>QWERT224</t>
  </si>
  <si>
    <t>BOO-0006</t>
  </si>
  <si>
    <t>ASFGFG</t>
  </si>
  <si>
    <t>ORD-0008</t>
  </si>
  <si>
    <t>ERSTRSRFG</t>
  </si>
  <si>
    <t>JHFYJHF</t>
  </si>
  <si>
    <t>HM</t>
  </si>
  <si>
    <t>Nav Items</t>
  </si>
  <si>
    <t>Page 1</t>
  </si>
  <si>
    <t>Page 2</t>
  </si>
  <si>
    <t>Page 3</t>
  </si>
  <si>
    <t>Page 4</t>
  </si>
  <si>
    <t>Page 5</t>
  </si>
  <si>
    <t>Page 6</t>
  </si>
  <si>
    <t>Page 7</t>
  </si>
  <si>
    <t>Page 8</t>
  </si>
  <si>
    <t>Page 9</t>
  </si>
  <si>
    <t>Bon de commande</t>
  </si>
  <si>
    <t>Config</t>
  </si>
  <si>
    <t>Facture</t>
  </si>
  <si>
    <t>ORD-0010</t>
  </si>
  <si>
    <t>ORD-0011</t>
  </si>
  <si>
    <t>ID</t>
  </si>
  <si>
    <t>Atangana Client 17</t>
  </si>
  <si>
    <t>Bonamikano 17</t>
  </si>
  <si>
    <t>Bonaberi 17</t>
  </si>
  <si>
    <t>atanganajules90@gmail.com 17</t>
  </si>
  <si>
    <t>uhuvjvh</t>
  </si>
  <si>
    <t>gyuv</t>
  </si>
  <si>
    <t>bjhbjhb</t>
  </si>
  <si>
    <t>hbjb</t>
  </si>
  <si>
    <t>njkjkjkn</t>
  </si>
  <si>
    <t xml:space="preserve">vjhbj nm </t>
  </si>
  <si>
    <t>Nom Entreprise</t>
  </si>
  <si>
    <t>Julian</t>
  </si>
  <si>
    <t>KFC</t>
  </si>
  <si>
    <t>360 Rue des champs</t>
  </si>
  <si>
    <t>Caen</t>
  </si>
  <si>
    <t>France</t>
  </si>
  <si>
    <t>kfc@gmail.com</t>
  </si>
  <si>
    <t>Ansu</t>
  </si>
  <si>
    <t>FCB</t>
  </si>
  <si>
    <t>Catalogne346</t>
  </si>
  <si>
    <t>Catalogne</t>
  </si>
  <si>
    <t>Espagne</t>
  </si>
  <si>
    <t>Entrée/ Sortie</t>
  </si>
  <si>
    <t>BOO-0014</t>
  </si>
  <si>
    <t>FAC0034</t>
  </si>
  <si>
    <t>Entrée</t>
  </si>
  <si>
    <t>Gains/Pertes</t>
  </si>
  <si>
    <t>BOO-0015</t>
  </si>
  <si>
    <t>FAC 355</t>
  </si>
  <si>
    <t>BENEFICE :</t>
  </si>
  <si>
    <t>TTYRU</t>
  </si>
  <si>
    <t>Actif</t>
  </si>
  <si>
    <t>ART-0012</t>
  </si>
  <si>
    <t>SMART TV</t>
  </si>
  <si>
    <t>ART-0013</t>
  </si>
  <si>
    <t>SAMSUNG A56</t>
  </si>
  <si>
    <t>ART-0014</t>
  </si>
  <si>
    <t>SHIVAS REGAL</t>
  </si>
  <si>
    <t>ART-0015</t>
  </si>
  <si>
    <t>SPRITE</t>
  </si>
  <si>
    <t>ART-0016</t>
  </si>
  <si>
    <t>HP CORE I7</t>
  </si>
  <si>
    <t>FACT-</t>
  </si>
  <si>
    <t>FAC-0068</t>
  </si>
  <si>
    <t>MFOMI</t>
  </si>
  <si>
    <t>NDOGBONG</t>
  </si>
  <si>
    <t>DOUALA</t>
  </si>
  <si>
    <t>CAMEROUN</t>
  </si>
  <si>
    <t>TONKWEUMFOMICARINE@GMAIL.COM</t>
  </si>
  <si>
    <t>BOO-0079</t>
  </si>
  <si>
    <t>GCDH</t>
  </si>
  <si>
    <t>ORD-0015</t>
  </si>
  <si>
    <t>BOO-0080</t>
  </si>
  <si>
    <t>GGHUIG78</t>
  </si>
  <si>
    <t>BOO-0082</t>
  </si>
  <si>
    <t>QWE6772</t>
  </si>
  <si>
    <t>BOO-0084</t>
  </si>
  <si>
    <t>FARENO1</t>
  </si>
  <si>
    <t>BOO-0085</t>
  </si>
  <si>
    <t>weghfgh</t>
  </si>
  <si>
    <t>BOO-0086</t>
  </si>
  <si>
    <t>dfdf</t>
  </si>
  <si>
    <t>BOO-0087</t>
  </si>
  <si>
    <t>QWERTY</t>
  </si>
  <si>
    <t>BOO-0088</t>
  </si>
  <si>
    <t>QDCUGV</t>
  </si>
  <si>
    <t>BOO-0089</t>
  </si>
  <si>
    <t>xcsvxdfb</t>
  </si>
  <si>
    <t>BOO-0090</t>
  </si>
  <si>
    <t>rd68</t>
  </si>
  <si>
    <t>BOO-0091</t>
  </si>
  <si>
    <t>gcvghvcgh</t>
  </si>
  <si>
    <t>ORD-0022</t>
  </si>
  <si>
    <t>ORD-0023</t>
  </si>
  <si>
    <t>ORD-0024</t>
  </si>
  <si>
    <t>BOO-0093</t>
  </si>
  <si>
    <t>FBDWUIFHE</t>
  </si>
  <si>
    <t>ORD-0026</t>
  </si>
  <si>
    <t>BOO-0094</t>
  </si>
  <si>
    <t>NSCKBCC</t>
  </si>
  <si>
    <t>Categorie</t>
  </si>
  <si>
    <t>Alimentation</t>
  </si>
  <si>
    <t>Boisson</t>
  </si>
  <si>
    <t>Electronique</t>
  </si>
  <si>
    <t>Situation financiere</t>
  </si>
  <si>
    <t>CLIENTS</t>
  </si>
  <si>
    <t>MOTS DE PASSE</t>
  </si>
  <si>
    <t>Date enregistrement</t>
  </si>
  <si>
    <t>kdfv</t>
  </si>
  <si>
    <t>wfkfe</t>
  </si>
  <si>
    <t>rlwfmkernf</t>
  </si>
  <si>
    <t>jkdnfjn</t>
  </si>
  <si>
    <t>sfkjlferkfsf</t>
  </si>
  <si>
    <t>QWRTY</t>
  </si>
  <si>
    <t>AQWETY</t>
  </si>
  <si>
    <t>babawoj@gmail.com</t>
  </si>
  <si>
    <t>QWERTY237</t>
  </si>
  <si>
    <t>JB</t>
  </si>
  <si>
    <t>QUELQUE PART</t>
  </si>
  <si>
    <t>Douala</t>
  </si>
  <si>
    <t>brown@gmail.com</t>
  </si>
  <si>
    <t>JBROWN10</t>
  </si>
  <si>
    <t>PACO</t>
  </si>
  <si>
    <t>SKSKS</t>
  </si>
  <si>
    <t>JKDFS</t>
  </si>
  <si>
    <t>JBVJFHGM</t>
  </si>
  <si>
    <t>MFHKGKNH</t>
  </si>
  <si>
    <t>QEFKMDFGBN234</t>
  </si>
  <si>
    <t>Patrice</t>
  </si>
  <si>
    <t>Bamako</t>
  </si>
  <si>
    <t>Bamakoland</t>
  </si>
  <si>
    <t>banshdj@gmail.com</t>
  </si>
  <si>
    <t>AZERTY456</t>
  </si>
  <si>
    <t>Partie client</t>
  </si>
  <si>
    <t>Partie admin</t>
  </si>
  <si>
    <t>ADMINISTRATEUR</t>
  </si>
  <si>
    <t>MOT DE PASSE</t>
  </si>
  <si>
    <t>Fareno</t>
  </si>
  <si>
    <t>Stones222</t>
  </si>
  <si>
    <t>Page 10</t>
  </si>
  <si>
    <t>Securite</t>
  </si>
  <si>
    <t>Dashbord</t>
  </si>
  <si>
    <t>kjb</t>
  </si>
  <si>
    <t>logpom total</t>
  </si>
  <si>
    <t>douala</t>
  </si>
  <si>
    <t>yaounde</t>
  </si>
  <si>
    <t>k@jie</t>
  </si>
  <si>
    <t>qwerty555</t>
  </si>
  <si>
    <t>ART-0017</t>
  </si>
  <si>
    <t>PLANET POMME</t>
  </si>
  <si>
    <t>Numero Facture</t>
  </si>
  <si>
    <t>Statut</t>
  </si>
  <si>
    <t>(Mot de passe de securite des classeurs clients)</t>
  </si>
  <si>
    <t>Kaldjob</t>
  </si>
  <si>
    <t>Kj_brown03</t>
  </si>
  <si>
    <t>Tsanang</t>
  </si>
  <si>
    <t>Aurelie</t>
  </si>
  <si>
    <t>ART-0018</t>
  </si>
  <si>
    <t>Heineken</t>
  </si>
  <si>
    <t>SAVON LAPERLE</t>
  </si>
  <si>
    <t xml:space="preserve"> Hygiène|Beauté</t>
  </si>
  <si>
    <t xml:space="preserve"> Entretien</t>
  </si>
  <si>
    <t>ART-0019</t>
  </si>
  <si>
    <t>Liquide vaisselle 1L</t>
  </si>
  <si>
    <t>ART-0020</t>
  </si>
  <si>
    <t>Eau de javel 2L</t>
  </si>
  <si>
    <t>Papeterie</t>
  </si>
  <si>
    <t>Bébé</t>
  </si>
  <si>
    <t>Auto|Moto</t>
  </si>
  <si>
    <t xml:space="preserve"> Bricolage</t>
  </si>
  <si>
    <t>ART-0021</t>
  </si>
  <si>
    <t>Bloc-notes A5</t>
  </si>
  <si>
    <t>ART-0022</t>
  </si>
  <si>
    <t>Couches Pampers taille 3</t>
  </si>
  <si>
    <t>ART-0023</t>
  </si>
  <si>
    <t>Huile moteur 5W30</t>
  </si>
  <si>
    <t>ART-0024</t>
  </si>
  <si>
    <t>Marteau 500g</t>
  </si>
  <si>
    <t>Autre Information</t>
  </si>
  <si>
    <t>Classeur Client(I1000)</t>
  </si>
  <si>
    <t>Categories</t>
  </si>
  <si>
    <t>Eddy Etame Etame</t>
  </si>
  <si>
    <t>King_E</t>
  </si>
  <si>
    <t>Sop</t>
  </si>
  <si>
    <t>Duval</t>
  </si>
  <si>
    <t>FARE-FACT-00001</t>
  </si>
  <si>
    <t>En attente</t>
  </si>
  <si>
    <t>BOO-0097</t>
  </si>
  <si>
    <t>werdtfygu</t>
  </si>
  <si>
    <t>FARE-FACT-00004</t>
  </si>
  <si>
    <t>ART-0025</t>
  </si>
  <si>
    <t>Essuie-Glace</t>
  </si>
  <si>
    <t>BOO-0099</t>
  </si>
  <si>
    <t>eryuio</t>
  </si>
  <si>
    <t>6</t>
  </si>
  <si>
    <t>5</t>
  </si>
  <si>
    <t>ART-0026</t>
  </si>
  <si>
    <t>Infinix 200</t>
  </si>
  <si>
    <t>ART-0027</t>
  </si>
  <si>
    <t>Mobibebe</t>
  </si>
  <si>
    <t>ART-0028</t>
  </si>
  <si>
    <t>OREO</t>
  </si>
  <si>
    <t>ART-0029</t>
  </si>
  <si>
    <t>ART-0030</t>
  </si>
  <si>
    <t>kermmaddog90@gmail.com 93</t>
  </si>
  <si>
    <t>Page 11</t>
  </si>
  <si>
    <t>Commandes</t>
  </si>
  <si>
    <t>********************************************************************************************************</t>
  </si>
  <si>
    <t>FARE-FACT-00007</t>
  </si>
  <si>
    <t>FARE-FACT-00008</t>
  </si>
  <si>
    <t>Nom Client :</t>
  </si>
  <si>
    <t>FARE-FACT-00009</t>
  </si>
  <si>
    <t>FARE-FACT-00010</t>
  </si>
  <si>
    <t>FARE-FACT-00011</t>
  </si>
  <si>
    <t>Livre</t>
  </si>
  <si>
    <t>FARE-FACT-00012</t>
  </si>
  <si>
    <t>BOO-0022</t>
  </si>
  <si>
    <t>TH</t>
  </si>
  <si>
    <t>Nkolndongo</t>
  </si>
  <si>
    <t>wtwdyhevg@gnail.com</t>
  </si>
  <si>
    <t>QWERTY123</t>
  </si>
  <si>
    <t>FARE-FACT-00013</t>
  </si>
  <si>
    <t>BOO-0024</t>
  </si>
  <si>
    <t>ORD-0038</t>
  </si>
  <si>
    <t>DEPENSE DES COMMANDES</t>
  </si>
  <si>
    <t>TOTAL</t>
  </si>
  <si>
    <t>ORD-0039</t>
  </si>
  <si>
    <t>ORD-0041</t>
  </si>
  <si>
    <t>ORD-0042</t>
  </si>
  <si>
    <t>BOO-0132</t>
  </si>
  <si>
    <t>FAC-0293</t>
  </si>
  <si>
    <t>ART-0033</t>
  </si>
  <si>
    <t>Biberon</t>
  </si>
  <si>
    <t>Inactif</t>
  </si>
  <si>
    <t>Sommes depenses</t>
  </si>
  <si>
    <t>ORD-0051</t>
  </si>
  <si>
    <t>BOO-0142</t>
  </si>
  <si>
    <t>BIB222</t>
  </si>
  <si>
    <t>FARE-FACT-00014</t>
  </si>
  <si>
    <t>FARE-FACT-00015</t>
  </si>
  <si>
    <t>Alicia</t>
  </si>
  <si>
    <t>Deido</t>
  </si>
  <si>
    <t>carellestup@gmail.com</t>
  </si>
  <si>
    <t>Carellebete237</t>
  </si>
  <si>
    <t>FARE-FACT-00016</t>
  </si>
  <si>
    <t>Ngouma</t>
  </si>
  <si>
    <t>Bonapriso</t>
  </si>
  <si>
    <t>Doual</t>
  </si>
  <si>
    <t>rsdwtryug@gmail.com</t>
  </si>
  <si>
    <t>Ngouma237</t>
  </si>
  <si>
    <t>FARE-FACT-00018</t>
  </si>
  <si>
    <t>linuxcam05@gmail.com</t>
  </si>
  <si>
    <t>ART-0034</t>
  </si>
  <si>
    <t>Riz Bijou  3kg</t>
  </si>
  <si>
    <t>ART-0035</t>
  </si>
  <si>
    <t>Huile Mayor (1L)</t>
  </si>
  <si>
    <t>Riz Bijou Gold 3kg</t>
  </si>
  <si>
    <t>ART-0037</t>
  </si>
  <si>
    <t>Yana Farine de Ble (1,5 Kg)</t>
  </si>
  <si>
    <t>ORD-0053</t>
  </si>
  <si>
    <t>Sebastien</t>
  </si>
  <si>
    <t>suzinabot05@gmail.com</t>
  </si>
  <si>
    <t>#Fareno12</t>
  </si>
  <si>
    <t>BOO-0156</t>
  </si>
  <si>
    <t>Fac2025051727</t>
  </si>
  <si>
    <t>ART-0038</t>
  </si>
  <si>
    <t>ORD-0054</t>
  </si>
  <si>
    <t>BOO-0157</t>
  </si>
  <si>
    <t>kvhkjvkjvjk</t>
  </si>
  <si>
    <t>FARE-FACT-00021</t>
  </si>
  <si>
    <t>BOO-0158</t>
  </si>
  <si>
    <t>FARE-FACT-00024</t>
  </si>
  <si>
    <t>FARE-FACT-00027</t>
  </si>
  <si>
    <t>Yana Farine de Ble (2,5 Kg)</t>
  </si>
  <si>
    <t>FARE-FACT-00030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</si>
</sst>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&quot;Veillez ravitailler le stock&quot;"/>
    <numFmt numFmtId="167" formatCode="_-* #,##0.00\ [$FCFA-2C0C]_-;\-* #,##0.00\ [$FCFA-2C0C]_-;_-* &quot;-&quot;??\ [$FCFA-2C0C]_-;_-@_-"/>
    <numFmt numFmtId="168" formatCode="_-* #,##0\ [$FCFA-2C0C]_-;\-* #,##0\ [$FCFA-2C0C]_-;_-* &quot;-&quot;\ [$FCFA-2C0C]_-;_-@_-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Bookman Old Style"/>
      <family val="1"/>
    </font>
    <font>
      <sz val="11"/>
      <color theme="1"/>
      <name val="Broadway"/>
      <family val="5"/>
    </font>
    <font>
      <sz val="36"/>
      <color theme="1"/>
      <name val="Broadway"/>
      <family val="5"/>
    </font>
    <font>
      <sz val="36"/>
      <color theme="1"/>
      <name val="Calibri"/>
      <family val="2"/>
      <scheme val="minor"/>
    </font>
    <font>
      <sz val="24"/>
      <color theme="1"/>
      <name val="Arial Black"/>
      <family val="2"/>
    </font>
    <font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1"/>
      <name val="Britannic Bold"/>
      <family val="2"/>
    </font>
    <font>
      <b/>
      <sz val="36"/>
      <color theme="1"/>
      <name val="Calibri"/>
      <family val="2"/>
      <scheme val="minor"/>
    </font>
    <font>
      <sz val="22"/>
      <color rgb="FFFF0000"/>
      <name val="Franklin Gothic Heavy"/>
      <family val="2"/>
    </font>
    <font>
      <sz val="11"/>
      <color rgb="FF000000"/>
      <name val="Calibri"/>
      <family val="2"/>
      <scheme val="minor"/>
    </font>
    <font>
      <sz val="28"/>
      <color theme="1"/>
      <name val="Broadway"/>
      <family val="5"/>
    </font>
    <font>
      <sz val="2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8D7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5" fontId="5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4" fillId="2" borderId="0" xfId="0" applyFont="1" applyFill="1" applyAlignment="1">
      <alignment horizontal="center"/>
    </xf>
    <xf numFmtId="0" fontId="0" fillId="0" borderId="2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7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2" applyNumberFormat="1" applyFont="1" applyBorder="1" applyAlignment="1">
      <alignment horizontal="center"/>
    </xf>
    <xf numFmtId="0" fontId="0" fillId="0" borderId="5" xfId="0" applyBorder="1"/>
    <xf numFmtId="0" fontId="7" fillId="0" borderId="0" xfId="0" applyFont="1"/>
    <xf numFmtId="0" fontId="6" fillId="0" borderId="6" xfId="0" applyFont="1" applyBorder="1"/>
    <xf numFmtId="0" fontId="0" fillId="0" borderId="1" xfId="0" applyBorder="1" applyAlignment="1">
      <alignment horizontal="right"/>
    </xf>
    <xf numFmtId="167" fontId="0" fillId="0" borderId="4" xfId="0" applyNumberFormat="1" applyBorder="1"/>
    <xf numFmtId="0" fontId="8" fillId="0" borderId="0" xfId="0" applyFont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14" fontId="0" fillId="0" borderId="0" xfId="2" applyNumberFormat="1" applyFont="1"/>
    <xf numFmtId="0" fontId="0" fillId="0" borderId="0" xfId="0" applyBorder="1" applyAlignment="1">
      <alignment horizontal="center"/>
    </xf>
    <xf numFmtId="167" fontId="0" fillId="0" borderId="0" xfId="2" applyNumberFormat="1" applyFont="1" applyBorder="1" applyAlignment="1">
      <alignment horizontal="center"/>
    </xf>
    <xf numFmtId="0" fontId="0" fillId="0" borderId="0" xfId="0" applyAlignment="1"/>
    <xf numFmtId="0" fontId="1" fillId="0" borderId="0" xfId="1" applyAlignment="1"/>
    <xf numFmtId="0" fontId="0" fillId="0" borderId="0" xfId="0" applyBorder="1"/>
    <xf numFmtId="167" fontId="0" fillId="0" borderId="8" xfId="0" applyNumberFormat="1" applyBorder="1"/>
    <xf numFmtId="0" fontId="0" fillId="5" borderId="0" xfId="0" applyFill="1"/>
    <xf numFmtId="0" fontId="8" fillId="0" borderId="0" xfId="0" applyFont="1" applyAlignment="1">
      <alignment horizontal="center"/>
    </xf>
    <xf numFmtId="0" fontId="0" fillId="5" borderId="0" xfId="0" applyFill="1" applyAlignment="1">
      <alignment horizontal="center"/>
    </xf>
    <xf numFmtId="0" fontId="9" fillId="5" borderId="0" xfId="0" applyFont="1" applyFill="1"/>
    <xf numFmtId="164" fontId="13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7" fontId="0" fillId="4" borderId="1" xfId="0" applyNumberFormat="1" applyFill="1" applyBorder="1" applyAlignment="1">
      <alignment horizontal="center"/>
    </xf>
    <xf numFmtId="0" fontId="0" fillId="0" borderId="0" xfId="0" applyFill="1"/>
    <xf numFmtId="0" fontId="9" fillId="0" borderId="0" xfId="0" applyFont="1" applyFill="1"/>
    <xf numFmtId="0" fontId="0" fillId="4" borderId="1" xfId="0" applyNumberFormat="1" applyFill="1" applyBorder="1" applyAlignment="1">
      <alignment horizontal="center"/>
    </xf>
    <xf numFmtId="0" fontId="14" fillId="0" borderId="0" xfId="0" applyFont="1" applyFill="1" applyAlignment="1">
      <alignment horizontal="center"/>
    </xf>
    <xf numFmtId="168" fontId="15" fillId="0" borderId="0" xfId="2" applyNumberFormat="1" applyFont="1" applyFill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4" fontId="0" fillId="0" borderId="0" xfId="0" applyNumberFormat="1" applyAlignment="1">
      <alignment horizontal="center"/>
    </xf>
    <xf numFmtId="16" fontId="0" fillId="0" borderId="0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8" fillId="0" borderId="0" xfId="0" applyFont="1" applyFill="1" applyAlignment="1">
      <alignment horizontal="center"/>
    </xf>
    <xf numFmtId="167" fontId="0" fillId="0" borderId="0" xfId="0" applyNumberFormat="1" applyFill="1" applyAlignment="1">
      <alignment horizontal="center"/>
    </xf>
    <xf numFmtId="166" fontId="0" fillId="0" borderId="0" xfId="0" applyNumberForma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3" fillId="0" borderId="0" xfId="0" applyNumberFormat="1" applyFont="1" applyFill="1" applyAlignment="1">
      <alignment horizontal="center"/>
    </xf>
    <xf numFmtId="14" fontId="0" fillId="0" borderId="0" xfId="0" applyNumberFormat="1" applyFill="1"/>
    <xf numFmtId="0" fontId="1" fillId="0" borderId="0" xfId="1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" fillId="0" borderId="0" xfId="1" applyFill="1" applyAlignment="1">
      <alignment horizontal="center" vertical="center"/>
    </xf>
    <xf numFmtId="0" fontId="1" fillId="0" borderId="0" xfId="1" applyFill="1"/>
    <xf numFmtId="0" fontId="16" fillId="0" borderId="0" xfId="0" applyFont="1"/>
    <xf numFmtId="0" fontId="10" fillId="0" borderId="0" xfId="0" applyFont="1" applyAlignment="1"/>
    <xf numFmtId="0" fontId="18" fillId="0" borderId="0" xfId="0" applyFont="1"/>
    <xf numFmtId="168" fontId="19" fillId="0" borderId="0" xfId="0" applyNumberFormat="1" applyFont="1"/>
    <xf numFmtId="3" fontId="17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167" fontId="0" fillId="6" borderId="0" xfId="0" applyNumberFormat="1" applyFill="1" applyAlignment="1">
      <alignment horizontal="center"/>
    </xf>
    <xf numFmtId="0" fontId="0" fillId="6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0" fontId="3" fillId="6" borderId="0" xfId="0" applyNumberFormat="1" applyFont="1" applyFill="1" applyAlignment="1">
      <alignment horizontal="center"/>
    </xf>
    <xf numFmtId="0" fontId="0" fillId="6" borderId="0" xfId="0" applyFill="1"/>
  </cellXfs>
  <cellStyles count="3">
    <cellStyle name="Lien hypertexte" xfId="1" builtinId="8"/>
    <cellStyle name="Monétaire" xfId="2" builtinId="4"/>
    <cellStyle name="Normal" xfId="0" builtinId="0"/>
  </cellStyles>
  <dxfs count="137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7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_-* #,##0.00\ [$FCFA-2C0C]_-;\-* #,##0.00\ [$FCFA-2C0C]_-;_-* &quot;-&quot;??\ [$FCFA-2C0C]_-;_-@_-"/>
      <alignment horizontal="center" vertical="bottom" textRotation="0" wrapText="0" indent="0" justifyLastLine="0" shrinkToFit="0" readingOrder="0"/>
    </dxf>
    <dxf>
      <numFmt numFmtId="167" formatCode="_-* #,##0.00\ [$FCFA-2C0C]_-;\-* #,##0.00\ [$FCFA-2C0C]_-;_-* &quot;-&quot;??\ [$FCFA-2C0C]_-;_-@_-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border outline="0">
        <left style="medium">
          <color indexed="64"/>
        </left>
        <right style="thin">
          <color indexed="64"/>
        </right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numFmt numFmtId="164" formatCode="&quot;€&quot;#,##0.00_);[Red]\(&quot;€&quot;#,##0.00\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.00\ [$FCFA-2C0C]_-;\-* #,##0.00\ [$FCFA-2C0C]_-;_-* &quot;-&quot;??\ [$FCFA-2C0C]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.00\ [$FCFA-2C0C]_-;\-* #,##0.00\ [$FCFA-2C0C]_-;_-* &quot;-&quot;??\ [$FCFA-2C0C]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left style="thin">
          <color indexed="64"/>
        </left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_-* #,##0.00\ [$FCFA-2C0C]_-;\-* #,##0.00\ [$FCFA-2C0C]_-;_-* &quot;-&quot;??\ [$FCFA-2C0C]_-;_-@_-"/>
      <alignment horizontal="center" vertical="bottom" textRotation="0" wrapText="0" indent="0" justifyLastLine="0" shrinkToFit="0" readingOrder="0"/>
    </dxf>
    <dxf>
      <numFmt numFmtId="167" formatCode="_-* #,##0.00\ [$FCFA-2C0C]_-;\-* #,##0.00\ [$FCFA-2C0C]_-;_-* &quot;-&quot;??\ [$FCFA-2C0C]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&quot;Veillez ravitailler le stock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_-* #,##0.00\ [$FCFA-2C0C]_-;\-* #,##0.00\ [$FCFA-2C0C]_-;_-* &quot;-&quot;??\ [$FCFA-2C0C]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_-* #,##0.00\ [$FCFA-2C0C]_-;\-* #,##0.00\ [$FCFA-2C0C]_-;_-* &quot;-&quot;??\ [$FCFA-2C0C]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7EF3F"/>
      <color rgb="FFFF75FF"/>
      <color rgb="FFA42C9E"/>
      <color rgb="FF1D31EB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Article Entree et Sortie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67-4089-9499-73177D2B89E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67-4089-9499-73177D2B89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 baseline="0"/>
                      <a:t>Entree</a:t>
                    </a:r>
                  </a:p>
                  <a:p>
                    <a:fld id="{C9D5ECCE-ED62-4B04-BB87-953241564986}" type="PERCENTAGE">
                      <a:rPr lang="en-US" baseline="0"/>
                      <a:pPr/>
                      <a:t>[POURCENTAGE]</a:t>
                    </a:fld>
                    <a:endParaRPr lang="fr-FR"/>
                  </a:p>
                </c:rich>
              </c:tx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F67-4089-9499-73177D2B89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baseline="0"/>
                      <a:t>Sortie
</a:t>
                    </a:r>
                    <a:fld id="{0E4529F3-F975-4ACF-998C-A254D2CDD916}" type="PERCENTAGE">
                      <a:rPr lang="en-US" baseline="0"/>
                      <a:pPr/>
                      <a:t>[POURCENTAGE]</a:t>
                    </a:fld>
                    <a:endParaRPr lang="en-US" baseline="0"/>
                  </a:p>
                </c:rich>
              </c:tx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F67-4089-9499-73177D2B89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CONFIG!$H$31:$I$31</c:f>
              <c:numCache>
                <c:formatCode>General</c:formatCode>
                <c:ptCount val="2"/>
                <c:pt idx="0">
                  <c:v>6555</c:v>
                </c:pt>
                <c:pt idx="1">
                  <c:v>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67-4089-9499-73177D2B89ED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Gains</a:t>
            </a:r>
            <a:r>
              <a:rPr lang="fr-FR" b="1" baseline="0"/>
              <a:t> et Pertes</a:t>
            </a:r>
            <a:endParaRPr lang="fr-FR" b="1"/>
          </a:p>
        </c:rich>
      </c:tx>
      <c:layout>
        <c:manualLayout>
          <c:xMode val="edge"/>
          <c:yMode val="edge"/>
          <c:x val="0.36415417027749897"/>
          <c:y val="2.19022214863995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EF3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0CB-485F-92C8-C5EEC6FA8EAF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0CB-485F-92C8-C5EEC6FA8EAF}"/>
              </c:ext>
            </c:extLst>
          </c:dPt>
          <c:val>
            <c:numRef>
              <c:f>CONFIG!$H$32:$I$32</c:f>
              <c:numCache>
                <c:formatCode>General</c:formatCode>
                <c:ptCount val="2"/>
                <c:pt idx="0">
                  <c:v>854271000</c:v>
                </c:pt>
                <c:pt idx="1">
                  <c:v>231809000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CB-485F-92C8-C5EEC6FA8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902783"/>
        <c:axId val="633486751"/>
      </c:barChart>
      <c:catAx>
        <c:axId val="11990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3486751"/>
        <c:crosses val="autoZero"/>
        <c:auto val="1"/>
        <c:lblAlgn val="ctr"/>
        <c:lblOffset val="100"/>
        <c:noMultiLvlLbl val="0"/>
      </c:catAx>
      <c:valAx>
        <c:axId val="63348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902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Categorie</a:t>
            </a:r>
          </a:p>
        </c:rich>
      </c:tx>
      <c:layout>
        <c:manualLayout>
          <c:xMode val="edge"/>
          <c:yMode val="edge"/>
          <c:x val="0.39272222222222219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DF-49C4-969A-6FCDCE14791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DF-49C4-969A-6FCDCE14791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FDF-49C4-969A-6FCDCE14791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FDF-49C4-969A-6FCDCE14791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FDF-49C4-969A-6FCDCE14791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A04-4BE4-9172-BF545A2C9D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A04-4BE4-9172-BF545A2C9D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A04-4BE4-9172-BF545A2C9D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FA04-4BE4-9172-BF545A2C9D1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CONFIG!$G$47:$G$55</c:f>
              <c:strCache>
                <c:ptCount val="9"/>
                <c:pt idx="0">
                  <c:v>Electronique</c:v>
                </c:pt>
                <c:pt idx="1">
                  <c:v>Boisson</c:v>
                </c:pt>
                <c:pt idx="2">
                  <c:v> Hygiène|Beauté</c:v>
                </c:pt>
                <c:pt idx="3">
                  <c:v>Alimentation</c:v>
                </c:pt>
                <c:pt idx="4">
                  <c:v> Entretien</c:v>
                </c:pt>
                <c:pt idx="5">
                  <c:v>Papeterie</c:v>
                </c:pt>
                <c:pt idx="6">
                  <c:v>Bébé</c:v>
                </c:pt>
                <c:pt idx="7">
                  <c:v>Auto|Moto</c:v>
                </c:pt>
                <c:pt idx="8">
                  <c:v> Bricolage</c:v>
                </c:pt>
              </c:strCache>
            </c:strRef>
          </c:cat>
          <c:val>
            <c:numRef>
              <c:f>CONFIG!$H$47:$H$55</c:f>
              <c:numCache>
                <c:formatCode>General</c:formatCode>
                <c:ptCount val="9"/>
                <c:pt idx="0">
                  <c:v>4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FDF-49C4-969A-6FCDCE14791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pixabay.com/fr/l-information-ic%C3%B4ne-symbole-706907/" TargetMode="External"/><Relationship Id="rId13" Type="http://schemas.openxmlformats.org/officeDocument/2006/relationships/image" Target="../media/image7.jpg"/><Relationship Id="rId3" Type="http://schemas.openxmlformats.org/officeDocument/2006/relationships/image" Target="../media/image2.jpeg"/><Relationship Id="rId7" Type="http://schemas.openxmlformats.org/officeDocument/2006/relationships/image" Target="../media/image4.jpeg"/><Relationship Id="rId12" Type="http://schemas.openxmlformats.org/officeDocument/2006/relationships/hyperlink" Target="https://freepngimg.com/png/10560-best-quality-download-png" TargetMode="External"/><Relationship Id="rId2" Type="http://schemas.openxmlformats.org/officeDocument/2006/relationships/hyperlink" Target="https://pixabay.com/fr/ic%C3%B4ne-graphique-statistiques-1728547/" TargetMode="External"/><Relationship Id="rId16" Type="http://schemas.openxmlformats.org/officeDocument/2006/relationships/chart" Target="../charts/chart3.xml"/><Relationship Id="rId1" Type="http://schemas.openxmlformats.org/officeDocument/2006/relationships/image" Target="../media/image1.jpeg"/><Relationship Id="rId6" Type="http://schemas.openxmlformats.org/officeDocument/2006/relationships/hyperlink" Target="https://pixabay.com/fr/attention-ic%C3%B4ne-point-d-exclamation-147439/" TargetMode="External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5" Type="http://schemas.openxmlformats.org/officeDocument/2006/relationships/chart" Target="../charts/chart2.xml"/><Relationship Id="rId10" Type="http://schemas.openxmlformats.org/officeDocument/2006/relationships/hyperlink" Target="http://www.bolsadeempleos.info/2016/06/jefe-de-bodega.html" TargetMode="External"/><Relationship Id="rId4" Type="http://schemas.openxmlformats.org/officeDocument/2006/relationships/hyperlink" Target="https://pixabay.com/ko/illustrations/%ED%8C%A8%ED%82%A4%EC%A7%80-%EC%88%98%EC%86%A1-%EB%B0%B0%EB%8B%AC-%EC%82%AC%EB%9E%8C-1020072/" TargetMode="External"/><Relationship Id="rId9" Type="http://schemas.openxmlformats.org/officeDocument/2006/relationships/image" Target="../media/image5.jpe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68745</xdr:colOff>
      <xdr:row>4</xdr:row>
      <xdr:rowOff>176544</xdr:rowOff>
    </xdr:from>
    <xdr:to>
      <xdr:col>18</xdr:col>
      <xdr:colOff>219937</xdr:colOff>
      <xdr:row>26</xdr:row>
      <xdr:rowOff>180242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03897" y="2068672"/>
          <a:ext cx="19645263" cy="4251334"/>
          <a:chOff x="7765669" y="4785236"/>
          <a:chExt cx="13107952" cy="4190319"/>
        </a:xfrm>
      </xdr:grpSpPr>
      <xdr:grpSp>
        <xdr:nvGrpSpPr>
          <xdr:cNvPr id="3" name="Grou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7765669" y="6960858"/>
            <a:ext cx="4074321" cy="2014697"/>
            <a:chOff x="9029698" y="4467224"/>
            <a:chExt cx="4086227" cy="1971676"/>
          </a:xfrm>
        </xdr:grpSpPr>
        <xdr:sp macro="" textlink="">
          <xdr:nvSpPr>
            <xdr:cNvPr id="39" name="Rectangl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9039225" y="4467225"/>
              <a:ext cx="4076700" cy="1971675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CONFIG!$D$31">
          <xdr:nvSpPr>
            <xdr:cNvPr id="40" name="ZoneTexte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 txBox="1"/>
          </xdr:nvSpPr>
          <xdr:spPr>
            <a:xfrm>
              <a:off x="9210675" y="4924424"/>
              <a:ext cx="2105025" cy="714376"/>
            </a:xfrm>
            <a:prstGeom prst="rect">
              <a:avLst/>
            </a:prstGeom>
            <a:solidFill>
              <a:srgbClr val="00206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CED45939-D823-4D60-BC8A-BF51EBFF995F}" type="TxLink">
                <a:rPr lang="en-US" sz="20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 622 886 750,00 FCFA </a:t>
              </a:fld>
              <a:endParaRPr lang="fr-FR" sz="2000" b="1">
                <a:solidFill>
                  <a:schemeClr val="bg1"/>
                </a:solidFill>
              </a:endParaRPr>
            </a:p>
          </xdr:txBody>
        </xdr:sp>
        <xdr:sp macro="" textlink="CONFIG!$C$31">
          <xdr:nvSpPr>
            <xdr:cNvPr id="41" name="ZoneTex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 txBox="1"/>
          </xdr:nvSpPr>
          <xdr:spPr>
            <a:xfrm>
              <a:off x="9029698" y="5962649"/>
              <a:ext cx="4076701" cy="468000"/>
            </a:xfrm>
            <a:prstGeom prst="rect">
              <a:avLst/>
            </a:prstGeom>
            <a:solidFill>
              <a:srgbClr val="1D31EB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3841DDD6-61B6-4E71-8019-BAA2A704D5A3}" type="TxLink">
                <a:rPr lang="en-US" sz="2400" b="1" i="0" u="none" strike="noStrike">
                  <a:solidFill>
                    <a:schemeClr val="bg1"/>
                  </a:solidFill>
                  <a:latin typeface="Broadway" panose="04040905080B02020502" pitchFamily="82" charset="0"/>
                  <a:cs typeface="Calibri"/>
                </a:rPr>
                <a:pPr algn="ctr"/>
                <a:t>Valeur du stock</a:t>
              </a:fld>
              <a:endParaRPr lang="en-US" sz="4400" b="1">
                <a:solidFill>
                  <a:schemeClr val="bg1"/>
                </a:solidFill>
                <a:latin typeface="Broadway" panose="04040905080B02020502" pitchFamily="82" charset="0"/>
              </a:endParaRPr>
            </a:p>
          </xdr:txBody>
        </xdr:sp>
        <xdr:pic>
          <xdr:nvPicPr>
            <xdr:cNvPr id="42" name="Image 41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2"/>
                </a:ext>
              </a:extLst>
            </a:blip>
            <a:stretch>
              <a:fillRect/>
            </a:stretch>
          </xdr:blipFill>
          <xdr:spPr>
            <a:xfrm>
              <a:off x="11572875" y="4467224"/>
              <a:ext cx="1543050" cy="1504951"/>
            </a:xfrm>
            <a:prstGeom prst="rect">
              <a:avLst/>
            </a:prstGeom>
          </xdr:spPr>
        </xdr:pic>
      </xdr:grpSp>
      <xdr:grpSp>
        <xdr:nvGrpSpPr>
          <xdr:cNvPr id="4" name="Group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12153660" y="4790229"/>
            <a:ext cx="4069221" cy="1968973"/>
            <a:chOff x="5795999" y="3229999"/>
            <a:chExt cx="4101113" cy="1966847"/>
          </a:xfrm>
        </xdr:grpSpPr>
        <xdr:grpSp>
          <xdr:nvGrpSpPr>
            <xdr:cNvPr id="34" name="Groupe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GrpSpPr/>
          </xdr:nvGrpSpPr>
          <xdr:grpSpPr>
            <a:xfrm>
              <a:off x="5795999" y="3229999"/>
              <a:ext cx="4101113" cy="1966847"/>
              <a:chOff x="9039225" y="4467225"/>
              <a:chExt cx="4084114" cy="1971950"/>
            </a:xfrm>
            <a:solidFill>
              <a:srgbClr val="FFC000"/>
            </a:solidFill>
          </xdr:grpSpPr>
          <xdr:sp macro="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9039225" y="4467225"/>
                <a:ext cx="4076700" cy="1971675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CONFIG!$D$32">
            <xdr:nvSpPr>
              <xdr:cNvPr id="37" name="ZoneTexte 36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SpPr txBox="1"/>
            </xdr:nvSpPr>
            <xdr:spPr>
              <a:xfrm>
                <a:off x="9210675" y="4924424"/>
                <a:ext cx="2105025" cy="714376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DA1F2F75-816A-44DD-97BE-93EEA00449B3}" type="TxLink">
                  <a:rPr lang="en-US" sz="20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11</a:t>
                </a:fld>
                <a:endParaRPr lang="fr-FR" sz="4000" b="1">
                  <a:solidFill>
                    <a:schemeClr val="bg1"/>
                  </a:solidFill>
                </a:endParaRPr>
              </a:p>
            </xdr:txBody>
          </xdr:sp>
          <xdr:sp macro="" textlink="CONFIG!$C$32">
            <xdr:nvSpPr>
              <xdr:cNvPr id="38" name="ZoneText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 txBox="1"/>
            </xdr:nvSpPr>
            <xdr:spPr>
              <a:xfrm>
                <a:off x="9046638" y="5971175"/>
                <a:ext cx="4076701" cy="468000"/>
              </a:xfrm>
              <a:prstGeom prst="rect">
                <a:avLst/>
              </a:prstGeom>
              <a:solidFill>
                <a:schemeClr val="accent4">
                  <a:lumMod val="40000"/>
                  <a:lumOff val="60000"/>
                </a:schemeClr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E11F2315-0015-4597-996A-BE196F482876}" type="TxLink">
                  <a:rPr lang="en-US" sz="2400" b="1" i="0" u="none" strike="noStrike">
                    <a:solidFill>
                      <a:schemeClr val="bg1"/>
                    </a:solidFill>
                    <a:latin typeface="Broadway" panose="04040905080B02020502" pitchFamily="82" charset="0"/>
                    <a:cs typeface="Calibri"/>
                  </a:rPr>
                  <a:pPr algn="ctr"/>
                  <a:t>Article en commande</a:t>
                </a:fld>
                <a:endParaRPr lang="en-US" sz="8000" b="1">
                  <a:solidFill>
                    <a:schemeClr val="bg1"/>
                  </a:solidFill>
                  <a:latin typeface="Broadway" panose="04040905080B02020502" pitchFamily="82" charset="0"/>
                </a:endParaRPr>
              </a:p>
            </xdr:txBody>
          </xdr:sp>
        </xdr:grpSp>
        <xdr:pic>
          <xdr:nvPicPr>
            <xdr:cNvPr id="35" name="Image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4"/>
                </a:ext>
              </a:extLst>
            </a:blip>
            <a:stretch>
              <a:fillRect/>
            </a:stretch>
          </xdr:blipFill>
          <xdr:spPr>
            <a:xfrm>
              <a:off x="8163814" y="3231697"/>
              <a:ext cx="1726878" cy="1522300"/>
            </a:xfrm>
            <a:prstGeom prst="rect">
              <a:avLst/>
            </a:prstGeom>
          </xdr:spPr>
        </xdr:pic>
      </xdr:grpSp>
      <xdr:grpSp>
        <xdr:nvGrpSpPr>
          <xdr:cNvPr id="5" name="Grou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16804400" y="4849760"/>
            <a:ext cx="4069221" cy="1968973"/>
            <a:chOff x="5795999" y="3229999"/>
            <a:chExt cx="4101113" cy="1966847"/>
          </a:xfrm>
          <a:solidFill>
            <a:srgbClr val="FF0000"/>
          </a:solidFill>
        </xdr:grpSpPr>
        <xdr:grpSp>
          <xdr:nvGrpSpPr>
            <xdr:cNvPr id="29" name="Groupe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GrpSpPr/>
          </xdr:nvGrpSpPr>
          <xdr:grpSpPr>
            <a:xfrm>
              <a:off x="5795999" y="3229999"/>
              <a:ext cx="4101113" cy="1966847"/>
              <a:chOff x="9039225" y="4467225"/>
              <a:chExt cx="4084114" cy="1971950"/>
            </a:xfrm>
            <a:grpFill/>
          </xdr:grpSpPr>
          <xdr:sp macro="" textlink="">
            <xdr:nvSpPr>
              <xdr:cNvPr id="31" name="Rectangle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9039225" y="4467225"/>
                <a:ext cx="4076700" cy="1971675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CONFIG!$D$33">
            <xdr:nvSpPr>
              <xdr:cNvPr id="32" name="ZoneTexte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 txBox="1"/>
            </xdr:nvSpPr>
            <xdr:spPr>
              <a:xfrm>
                <a:off x="9210675" y="4924424"/>
                <a:ext cx="2105025" cy="714376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6C53229E-D775-4423-AB4D-CD69E6661DE5}" type="TxLink">
                  <a:rPr lang="en-US" sz="24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0</a:t>
                </a:fld>
                <a:endParaRPr lang="fr-FR" sz="7200" b="1">
                  <a:solidFill>
                    <a:schemeClr val="bg1"/>
                  </a:solidFill>
                </a:endParaRPr>
              </a:p>
            </xdr:txBody>
          </xdr:sp>
          <xdr:sp macro="" textlink="CONFIG!$C$33">
            <xdr:nvSpPr>
              <xdr:cNvPr id="33" name="ZoneTexte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 txBox="1"/>
            </xdr:nvSpPr>
            <xdr:spPr>
              <a:xfrm>
                <a:off x="9046638" y="5971175"/>
                <a:ext cx="4076701" cy="468000"/>
              </a:xfrm>
              <a:prstGeom prst="rect">
                <a:avLst/>
              </a:prstGeom>
              <a:solidFill>
                <a:schemeClr val="accent2">
                  <a:lumMod val="60000"/>
                  <a:lumOff val="40000"/>
                </a:schemeClr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86644DB4-8A9A-4245-896C-CF4C9C5EEA25}" type="TxLink">
                  <a:rPr lang="en-US" sz="2400" b="0" i="0" u="none" strike="noStrike">
                    <a:solidFill>
                      <a:schemeClr val="bg1"/>
                    </a:solidFill>
                    <a:latin typeface="Broadway" panose="04040905080B02020502" pitchFamily="82" charset="0"/>
                    <a:cs typeface="Calibri"/>
                  </a:rPr>
                  <a:pPr algn="ctr"/>
                  <a:t>Article critique</a:t>
                </a:fld>
                <a:endParaRPr lang="en-US" sz="19900" b="1">
                  <a:solidFill>
                    <a:schemeClr val="bg1"/>
                  </a:solidFill>
                  <a:latin typeface="Broadway" panose="04040905080B02020502" pitchFamily="82" charset="0"/>
                </a:endParaRPr>
              </a:p>
            </xdr:txBody>
          </xdr:sp>
        </xdr:grpSp>
        <xdr:pic>
          <xdr:nvPicPr>
            <xdr:cNvPr id="30" name="Image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6"/>
                </a:ext>
              </a:extLst>
            </a:blip>
            <a:srcRect/>
            <a:stretch/>
          </xdr:blipFill>
          <xdr:spPr>
            <a:xfrm>
              <a:off x="8214303" y="3300413"/>
              <a:ext cx="1625900" cy="1420246"/>
            </a:xfrm>
            <a:prstGeom prst="rect">
              <a:avLst/>
            </a:prstGeom>
            <a:grpFill/>
          </xdr:spPr>
        </xdr:pic>
      </xdr:grpSp>
      <xdr:grpSp>
        <xdr:nvGrpSpPr>
          <xdr:cNvPr id="6" name="Group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pSpPr/>
        </xdr:nvGrpSpPr>
        <xdr:grpSpPr>
          <a:xfrm>
            <a:off x="7786913" y="4785236"/>
            <a:ext cx="4061598" cy="1949193"/>
            <a:chOff x="5795998" y="3211570"/>
            <a:chExt cx="4101114" cy="1985276"/>
          </a:xfrm>
          <a:solidFill>
            <a:srgbClr val="A42C9E"/>
          </a:solidFill>
        </xdr:grpSpPr>
        <xdr:grpSp>
          <xdr:nvGrpSpPr>
            <xdr:cNvPr id="24" name="Groupe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GrpSpPr/>
          </xdr:nvGrpSpPr>
          <xdr:grpSpPr>
            <a:xfrm>
              <a:off x="5795998" y="3229999"/>
              <a:ext cx="4101114" cy="1966847"/>
              <a:chOff x="9039224" y="4467225"/>
              <a:chExt cx="4084115" cy="1971950"/>
            </a:xfrm>
            <a:grpFill/>
          </xdr:grpSpPr>
          <xdr:sp macro="" textlink="">
            <xdr:nvSpPr>
              <xdr:cNvPr id="26" name="Rectangle 25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SpPr/>
            </xdr:nvSpPr>
            <xdr:spPr>
              <a:xfrm>
                <a:off x="9039224" y="4467225"/>
                <a:ext cx="4076700" cy="1971675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CONFIG!$D$34">
            <xdr:nvSpPr>
              <xdr:cNvPr id="27" name="ZoneTexte 26">
                <a:extLst>
                  <a:ext uri="{FF2B5EF4-FFF2-40B4-BE49-F238E27FC236}">
                    <a16:creationId xmlns:a16="http://schemas.microsoft.com/office/drawing/2014/main" id="{00000000-0008-0000-0000-00001B000000}"/>
                  </a:ext>
                </a:extLst>
              </xdr:cNvPr>
              <xdr:cNvSpPr txBox="1"/>
            </xdr:nvSpPr>
            <xdr:spPr>
              <a:xfrm>
                <a:off x="9210675" y="4924424"/>
                <a:ext cx="2105025" cy="714376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55F55859-BEDC-4A58-9027-59F4779FF2C6}" type="TxLink">
                  <a:rPr lang="en-US" sz="24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28</a:t>
                </a:fld>
                <a:endParaRPr lang="fr-FR" sz="16600" b="1">
                  <a:solidFill>
                    <a:schemeClr val="bg1"/>
                  </a:solidFill>
                </a:endParaRPr>
              </a:p>
            </xdr:txBody>
          </xdr:sp>
          <xdr:sp macro="" textlink="CONFIG!$C$34">
            <xdr:nvSpPr>
              <xdr:cNvPr id="28" name="ZoneTexte 27">
                <a:extLst>
                  <a:ext uri="{FF2B5EF4-FFF2-40B4-BE49-F238E27FC236}">
                    <a16:creationId xmlns:a16="http://schemas.microsoft.com/office/drawing/2014/main" id="{00000000-0008-0000-0000-00001C000000}"/>
                  </a:ext>
                </a:extLst>
              </xdr:cNvPr>
              <xdr:cNvSpPr txBox="1"/>
            </xdr:nvSpPr>
            <xdr:spPr>
              <a:xfrm>
                <a:off x="9040475" y="5971175"/>
                <a:ext cx="4082864" cy="468000"/>
              </a:xfrm>
              <a:prstGeom prst="rect">
                <a:avLst/>
              </a:prstGeom>
              <a:solidFill>
                <a:srgbClr val="FF75FF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99F6B630-859E-47EF-B971-196BD241564F}" type="TxLink">
                  <a:rPr lang="en-US" sz="2400" b="0" i="0" u="none" strike="noStrike">
                    <a:solidFill>
                      <a:schemeClr val="bg1"/>
                    </a:solidFill>
                    <a:latin typeface="Broadway" panose="04040905080B02020502" pitchFamily="82" charset="0"/>
                    <a:cs typeface="Calibri"/>
                  </a:rPr>
                  <a:pPr algn="ctr"/>
                  <a:t>Quantite Stock</a:t>
                </a:fld>
                <a:endParaRPr lang="en-US" sz="59500" b="1">
                  <a:solidFill>
                    <a:schemeClr val="bg1"/>
                  </a:solidFill>
                  <a:latin typeface="Broadway" panose="04040905080B02020502" pitchFamily="82" charset="0"/>
                </a:endParaRPr>
              </a:p>
            </xdr:txBody>
          </xdr:sp>
        </xdr:grpSp>
        <xdr:pic>
          <xdr:nvPicPr>
            <xdr:cNvPr id="25" name="Image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8"/>
                </a:ext>
              </a:extLst>
            </a:blip>
            <a:srcRect/>
            <a:stretch/>
          </xdr:blipFill>
          <xdr:spPr>
            <a:xfrm>
              <a:off x="8329348" y="3211570"/>
              <a:ext cx="1566918" cy="1509089"/>
            </a:xfrm>
            <a:prstGeom prst="rect">
              <a:avLst/>
            </a:prstGeom>
            <a:grpFill/>
          </xdr:spPr>
        </xdr:pic>
      </xdr:grpSp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16789517" y="6988810"/>
            <a:ext cx="4069221" cy="1929026"/>
            <a:chOff x="5795999" y="3229999"/>
            <a:chExt cx="4101113" cy="1966847"/>
          </a:xfrm>
          <a:solidFill>
            <a:srgbClr val="00B050"/>
          </a:solidFill>
        </xdr:grpSpPr>
        <xdr:grpSp>
          <xdr:nvGrpSpPr>
            <xdr:cNvPr id="19" name="Groupe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GrpSpPr/>
          </xdr:nvGrpSpPr>
          <xdr:grpSpPr>
            <a:xfrm>
              <a:off x="5795999" y="3229999"/>
              <a:ext cx="4101113" cy="1966847"/>
              <a:chOff x="9039225" y="4467225"/>
              <a:chExt cx="4084114" cy="1971950"/>
            </a:xfrm>
            <a:grpFill/>
          </xdr:grpSpPr>
          <xdr:sp macro="" textlink="">
            <xdr:nvSpPr>
              <xdr:cNvPr id="21" name="Rectangle 20">
                <a:extLst>
                  <a:ext uri="{FF2B5EF4-FFF2-40B4-BE49-F238E27FC236}">
                    <a16:creationId xmlns:a16="http://schemas.microsoft.com/office/drawing/2014/main" id="{00000000-0008-0000-0000-000015000000}"/>
                  </a:ext>
                </a:extLst>
              </xdr:cNvPr>
              <xdr:cNvSpPr/>
            </xdr:nvSpPr>
            <xdr:spPr>
              <a:xfrm>
                <a:off x="9039225" y="4467225"/>
                <a:ext cx="4076700" cy="1971675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CONFIG!$D$35">
            <xdr:nvSpPr>
              <xdr:cNvPr id="22" name="ZoneTexte 21">
                <a:extLst>
                  <a:ext uri="{FF2B5EF4-FFF2-40B4-BE49-F238E27FC236}">
                    <a16:creationId xmlns:a16="http://schemas.microsoft.com/office/drawing/2014/main" id="{00000000-0008-0000-0000-000016000000}"/>
                  </a:ext>
                </a:extLst>
              </xdr:cNvPr>
              <xdr:cNvSpPr txBox="1"/>
            </xdr:nvSpPr>
            <xdr:spPr>
              <a:xfrm>
                <a:off x="9210675" y="4924424"/>
                <a:ext cx="2105025" cy="714376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E4BD13F0-AADA-4D4A-8BDA-7E46CDFC1BFF}" type="TxLink">
                  <a:rPr lang="en-US" sz="24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4971</a:t>
                </a:fld>
                <a:endParaRPr lang="fr-FR" sz="16600" b="1">
                  <a:solidFill>
                    <a:schemeClr val="bg1"/>
                  </a:solidFill>
                </a:endParaRPr>
              </a:p>
            </xdr:txBody>
          </xdr:sp>
          <xdr:sp macro="" textlink="CONFIG!$C$35">
            <xdr:nvSpPr>
              <xdr:cNvPr id="23" name="ZoneTexte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SpPr txBox="1"/>
            </xdr:nvSpPr>
            <xdr:spPr>
              <a:xfrm>
                <a:off x="9046638" y="5971175"/>
                <a:ext cx="4076701" cy="468000"/>
              </a:xfrm>
              <a:prstGeom prst="rect">
                <a:avLst/>
              </a:prstGeom>
              <a:solidFill>
                <a:schemeClr val="accent6">
                  <a:lumMod val="60000"/>
                  <a:lumOff val="40000"/>
                </a:schemeClr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2B9CE158-3A5E-4260-A84D-3C22BC818623}" type="TxLink">
                  <a:rPr lang="en-US" sz="2400" b="0" i="0" u="none" strike="noStrike">
                    <a:solidFill>
                      <a:schemeClr val="bg1"/>
                    </a:solidFill>
                    <a:latin typeface="Broadway" panose="04040905080B02020502" pitchFamily="82" charset="0"/>
                    <a:cs typeface="Calibri"/>
                  </a:rPr>
                  <a:pPr algn="ctr"/>
                  <a:t>Volume Stock</a:t>
                </a:fld>
                <a:endParaRPr lang="en-US" sz="59500" b="1">
                  <a:solidFill>
                    <a:schemeClr val="bg1"/>
                  </a:solidFill>
                  <a:latin typeface="Broadway" panose="04040905080B02020502" pitchFamily="82" charset="0"/>
                </a:endParaRPr>
              </a:p>
            </xdr:txBody>
          </xdr:sp>
        </xdr:grpSp>
        <xdr:pic>
          <xdr:nvPicPr>
            <xdr:cNvPr id="20" name="Image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10"/>
                </a:ext>
              </a:extLst>
            </a:blip>
            <a:srcRect/>
            <a:stretch/>
          </xdr:blipFill>
          <xdr:spPr>
            <a:xfrm>
              <a:off x="8246682" y="3234142"/>
              <a:ext cx="1647202" cy="1486518"/>
            </a:xfrm>
            <a:prstGeom prst="rect">
              <a:avLst/>
            </a:prstGeom>
            <a:grpFill/>
          </xdr:spPr>
        </xdr:pic>
      </xdr:grpSp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12139303" y="6969493"/>
            <a:ext cx="4068168" cy="1997427"/>
            <a:chOff x="5795999" y="3229999"/>
            <a:chExt cx="4101113" cy="1966847"/>
          </a:xfrm>
          <a:solidFill>
            <a:schemeClr val="accent4">
              <a:lumMod val="75000"/>
            </a:schemeClr>
          </a:solidFill>
        </xdr:grpSpPr>
        <xdr:grpSp>
          <xdr:nvGrpSpPr>
            <xdr:cNvPr id="9" name="Groupe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pSpPr/>
          </xdr:nvGrpSpPr>
          <xdr:grpSpPr>
            <a:xfrm>
              <a:off x="5795999" y="3229999"/>
              <a:ext cx="4101113" cy="1966847"/>
              <a:chOff x="9039225" y="4467225"/>
              <a:chExt cx="4084114" cy="1971950"/>
            </a:xfrm>
            <a:grpFill/>
          </xdr:grpSpPr>
          <xdr:sp macro="" textlink="">
            <xdr:nvSpPr>
              <xdr:cNvPr id="11" name="Rectangle 10">
                <a:extLst>
                  <a:ext uri="{FF2B5EF4-FFF2-40B4-BE49-F238E27FC236}">
                    <a16:creationId xmlns:a16="http://schemas.microsoft.com/office/drawing/2014/main" id="{00000000-0008-0000-0000-00000B000000}"/>
                  </a:ext>
                </a:extLst>
              </xdr:cNvPr>
              <xdr:cNvSpPr/>
            </xdr:nvSpPr>
            <xdr:spPr>
              <a:xfrm>
                <a:off x="9039225" y="4467225"/>
                <a:ext cx="4076700" cy="1971675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CONFIG!$D$36">
            <xdr:nvSpPr>
              <xdr:cNvPr id="12" name="ZoneTexte 11"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SpPr txBox="1"/>
            </xdr:nvSpPr>
            <xdr:spPr>
              <a:xfrm>
                <a:off x="9548213" y="4666470"/>
                <a:ext cx="2105025" cy="334776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0691272D-90D6-4756-913A-D4200B6A109D}" type="TxLink">
                  <a:rPr lang="en-US" sz="20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ART-00009</a:t>
                </a:fld>
                <a:endParaRPr lang="fr-FR" sz="41300" b="1">
                  <a:solidFill>
                    <a:schemeClr val="bg1"/>
                  </a:solidFill>
                </a:endParaRPr>
              </a:p>
            </xdr:txBody>
          </xdr:sp>
          <xdr:sp macro="" textlink="CONFIG!$C$36">
            <xdr:nvSpPr>
              <xdr:cNvPr id="13" name="ZoneTexte 12">
                <a:extLst>
                  <a:ext uri="{FF2B5EF4-FFF2-40B4-BE49-F238E27FC236}">
                    <a16:creationId xmlns:a16="http://schemas.microsoft.com/office/drawing/2014/main" id="{00000000-0008-0000-0000-00000D000000}"/>
                  </a:ext>
                </a:extLst>
              </xdr:cNvPr>
              <xdr:cNvSpPr txBox="1"/>
            </xdr:nvSpPr>
            <xdr:spPr>
              <a:xfrm>
                <a:off x="9046638" y="5971175"/>
                <a:ext cx="4076701" cy="468000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248A716C-DD5B-4AD5-8C55-B42B6356F1CA}" type="TxLink">
                  <a:rPr lang="en-US" sz="2400" b="0" i="0" u="none" strike="noStrike">
                    <a:solidFill>
                      <a:schemeClr val="bg1"/>
                    </a:solidFill>
                    <a:latin typeface="Broadway" panose="04040905080B02020502" pitchFamily="82" charset="0"/>
                    <a:cs typeface="Calibri"/>
                  </a:rPr>
                  <a:pPr algn="ctr"/>
                  <a:t>Top 3 des Articles Vendus</a:t>
                </a:fld>
                <a:endParaRPr lang="en-US" sz="177700" b="1">
                  <a:solidFill>
                    <a:schemeClr val="bg1"/>
                  </a:solidFill>
                  <a:latin typeface="Broadway" panose="04040905080B02020502" pitchFamily="82" charset="0"/>
                </a:endParaRPr>
              </a:p>
            </xdr:txBody>
          </xdr:sp>
          <xdr:sp macro="" textlink="CONFIG!$E$36">
            <xdr:nvSpPr>
              <xdr:cNvPr id="14" name="ZoneTexte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 txBox="1"/>
            </xdr:nvSpPr>
            <xdr:spPr>
              <a:xfrm>
                <a:off x="9546671" y="5085312"/>
                <a:ext cx="2105025" cy="334776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FB4B6D31-417D-406C-B0C1-F9F6450EBFF0}" type="TxLink">
                  <a:rPr lang="en-US" sz="20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ART-00004</a:t>
                </a:fld>
                <a:endParaRPr lang="fr-FR" sz="41300" b="1">
                  <a:solidFill>
                    <a:schemeClr val="bg1"/>
                  </a:solidFill>
                </a:endParaRPr>
              </a:p>
            </xdr:txBody>
          </xdr:sp>
          <xdr:sp macro="" textlink="CONFIG!$F$36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000-00000F000000}"/>
                  </a:ext>
                </a:extLst>
              </xdr:cNvPr>
              <xdr:cNvSpPr txBox="1"/>
            </xdr:nvSpPr>
            <xdr:spPr>
              <a:xfrm>
                <a:off x="9535483" y="5532813"/>
                <a:ext cx="2105025" cy="334776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4FF17CAB-1A7B-48B2-876C-207F1F489E29}" type="TxLink">
                  <a:rPr lang="en-US" sz="20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ART-00006</a:t>
                </a:fld>
                <a:endParaRPr lang="fr-FR" sz="41300" b="1">
                  <a:solidFill>
                    <a:schemeClr val="bg1"/>
                  </a:solidFill>
                </a:endParaRPr>
              </a:p>
            </xdr:txBody>
          </xdr:sp>
          <xdr:sp macro="" textlink="CONFIG!$D$37">
            <xdr:nvSpPr>
              <xdr:cNvPr id="16" name="ZoneTexte 15"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SpPr txBox="1"/>
            </xdr:nvSpPr>
            <xdr:spPr>
              <a:xfrm>
                <a:off x="9151268" y="4703158"/>
                <a:ext cx="843524" cy="334776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188596CB-33C9-4E45-9B6C-76255A8BAF90}" type="TxLink">
                  <a:rPr lang="en-US" sz="18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N* 1 :</a:t>
                </a:fld>
                <a:endParaRPr lang="fr-FR" sz="85700" b="1">
                  <a:solidFill>
                    <a:schemeClr val="bg1"/>
                  </a:solidFill>
                </a:endParaRPr>
              </a:p>
            </xdr:txBody>
          </xdr:sp>
          <xdr:sp macro="" textlink="CONFIG!$E$37">
            <xdr:nvSpPr>
              <xdr:cNvPr id="17" name="ZoneTexte 16">
                <a:extLst>
                  <a:ext uri="{FF2B5EF4-FFF2-40B4-BE49-F238E27FC236}">
                    <a16:creationId xmlns:a16="http://schemas.microsoft.com/office/drawing/2014/main" id="{00000000-0008-0000-0000-000011000000}"/>
                  </a:ext>
                </a:extLst>
              </xdr:cNvPr>
              <xdr:cNvSpPr txBox="1"/>
            </xdr:nvSpPr>
            <xdr:spPr>
              <a:xfrm>
                <a:off x="9178659" y="5083783"/>
                <a:ext cx="787203" cy="334776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0A43651C-A11B-497E-859B-A0829CC1CA9C}" type="TxLink">
                  <a:rPr lang="en-US" sz="20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N*2 :</a:t>
                </a:fld>
                <a:endParaRPr lang="fr-FR" sz="213200" b="1">
                  <a:solidFill>
                    <a:schemeClr val="bg1"/>
                  </a:solidFill>
                </a:endParaRPr>
              </a:p>
            </xdr:txBody>
          </xdr:sp>
          <xdr:sp macro="" textlink="CONFIG!$F$37">
            <xdr:nvSpPr>
              <xdr:cNvPr id="18" name="ZoneTexte 17">
                <a:extLst>
                  <a:ext uri="{FF2B5EF4-FFF2-40B4-BE49-F238E27FC236}">
                    <a16:creationId xmlns:a16="http://schemas.microsoft.com/office/drawing/2014/main" id="{00000000-0008-0000-0000-000012000000}"/>
                  </a:ext>
                </a:extLst>
              </xdr:cNvPr>
              <xdr:cNvSpPr txBox="1"/>
            </xdr:nvSpPr>
            <xdr:spPr>
              <a:xfrm>
                <a:off x="9186758" y="5512179"/>
                <a:ext cx="759815" cy="334776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0C4CE291-EC80-4403-A8BD-0AA11387BAB7}" type="TxLink">
                  <a:rPr lang="en-US" sz="20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N*3 :</a:t>
                </a:fld>
                <a:endParaRPr lang="fr-FR" sz="213200" b="1">
                  <a:solidFill>
                    <a:schemeClr val="bg1"/>
                  </a:solidFill>
                </a:endParaRPr>
              </a:p>
            </xdr:txBody>
          </xdr:sp>
        </xdr:grpSp>
        <xdr:pic>
          <xdr:nvPicPr>
            <xdr:cNvPr id="10" name="Imag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837473B0-CC2E-450A-ABE3-18F120FF3D39}">
                  <a1611:picAttrSrcUrl xmlns:a1611="http://schemas.microsoft.com/office/drawing/2016/11/main" r:id="rId12"/>
                </a:ext>
              </a:extLst>
            </a:blip>
            <a:srcRect/>
            <a:stretch/>
          </xdr:blipFill>
          <xdr:spPr>
            <a:xfrm>
              <a:off x="8274518" y="3234142"/>
              <a:ext cx="1591529" cy="1486518"/>
            </a:xfrm>
            <a:prstGeom prst="rect">
              <a:avLst/>
            </a:prstGeom>
            <a:grpFill/>
          </xdr:spPr>
        </xdr:pic>
      </xdr:grpSp>
    </xdr:grpSp>
    <xdr:clientData/>
  </xdr:twoCellAnchor>
  <xdr:twoCellAnchor editAs="oneCell">
    <xdr:from>
      <xdr:col>2</xdr:col>
      <xdr:colOff>726352</xdr:colOff>
      <xdr:row>2</xdr:row>
      <xdr:rowOff>90728</xdr:rowOff>
    </xdr:from>
    <xdr:to>
      <xdr:col>8</xdr:col>
      <xdr:colOff>1202223</xdr:colOff>
      <xdr:row>4</xdr:row>
      <xdr:rowOff>15796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693" y="924166"/>
          <a:ext cx="5139908" cy="1039926"/>
        </a:xfrm>
        <a:prstGeom prst="rect">
          <a:avLst/>
        </a:prstGeom>
      </xdr:spPr>
    </xdr:pic>
    <xdr:clientData/>
  </xdr:twoCellAnchor>
  <xdr:twoCellAnchor editAs="absolute">
    <xdr:from>
      <xdr:col>0</xdr:col>
      <xdr:colOff>20511</xdr:colOff>
      <xdr:row>0</xdr:row>
      <xdr:rowOff>0</xdr:rowOff>
    </xdr:from>
    <xdr:to>
      <xdr:col>9</xdr:col>
      <xdr:colOff>1083903</xdr:colOff>
      <xdr:row>1</xdr:row>
      <xdr:rowOff>111755</xdr:rowOff>
    </xdr:to>
    <xdr:grpSp>
      <xdr:nvGrpSpPr>
        <xdr:cNvPr id="55" name="Group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0511" y="0"/>
          <a:ext cx="12950335" cy="523647"/>
          <a:chOff x="93887" y="9525"/>
          <a:chExt cx="11095751" cy="487816"/>
        </a:xfrm>
        <a:solidFill>
          <a:schemeClr val="accent1">
            <a:lumMod val="50000"/>
          </a:schemeClr>
        </a:solidFill>
      </xdr:grpSpPr>
      <xdr:sp macro="[0]!vide" textlink="">
        <xdr:nvSpPr>
          <xdr:cNvPr id="56" name="Nav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93887" y="9525"/>
            <a:ext cx="11095751" cy="487816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home" textlink="CONFIG!$C$44">
        <xdr:nvSpPr>
          <xdr:cNvPr id="57" name="Page 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94268" y="18882"/>
            <a:ext cx="1064087" cy="459745"/>
          </a:xfrm>
          <a:prstGeom prst="rect">
            <a:avLst/>
          </a:prstGeom>
          <a:solidFill>
            <a:srgbClr val="47EF3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3739BA0-A10C-4147-8841-A2DDE052CF85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Dashbord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Page.article" textlink="CONFIG!$C$45">
        <xdr:nvSpPr>
          <xdr:cNvPr id="58" name="Page 2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134242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6449194-FA7E-49F7-A279-91B55B416FA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order" textlink="CONFIG!$C$46">
        <xdr:nvSpPr>
          <xdr:cNvPr id="59" name="Page 3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590587" y="37596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EFE9B49-4C7B-49AD-8495-8847EC6C2137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Order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boncmd" textlink="CONFIG!$C$47">
        <xdr:nvSpPr>
          <xdr:cNvPr id="60" name="Page 4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3857516" y="37596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 b="1">
                <a:solidFill>
                  <a:schemeClr val="bg1"/>
                </a:solidFill>
              </a:rPr>
              <a:t>BonCmd</a:t>
            </a:r>
          </a:p>
        </xdr:txBody>
      </xdr:sp>
      <xdr:sp macro="[0]!booking" textlink="CONFIG!$C$48">
        <xdr:nvSpPr>
          <xdr:cNvPr id="61" name="Page 5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/>
        </xdr:nvSpPr>
        <xdr:spPr>
          <a:xfrm>
            <a:off x="508690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EE3A39-278B-4DBF-970D-4F2A586AD046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Booking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fourni" textlink="CONFIG!$C$49">
        <xdr:nvSpPr>
          <xdr:cNvPr id="62" name="Page 6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6325682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C2C04-4159-473B-B63B-1D41081E7B0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Page.client" textlink="CONFIG!$C$50">
        <xdr:nvSpPr>
          <xdr:cNvPr id="63" name="Page 7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758322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982378A-FCF4-43CA-BBBE-283AE6979052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config" textlink="CONFIG!$C$51">
        <xdr:nvSpPr>
          <xdr:cNvPr id="64" name="Page 8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8822002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63FA66-187A-4081-A3D5-53EC42902935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facture" textlink="CONFIG!$C$52">
        <xdr:nvSpPr>
          <xdr:cNvPr id="65" name="Page 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10079546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33B1910-3002-4E46-A824-9E9D6D51C688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Facture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54120</xdr:colOff>
      <xdr:row>28</xdr:row>
      <xdr:rowOff>173181</xdr:rowOff>
    </xdr:from>
    <xdr:to>
      <xdr:col>7</xdr:col>
      <xdr:colOff>80097</xdr:colOff>
      <xdr:row>50</xdr:row>
      <xdr:rowOff>32472</xdr:rowOff>
    </xdr:to>
    <xdr:graphicFrame macro="">
      <xdr:nvGraphicFramePr>
        <xdr:cNvPr id="66" name="Graphique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32469</xdr:colOff>
      <xdr:row>28</xdr:row>
      <xdr:rowOff>162357</xdr:rowOff>
    </xdr:from>
    <xdr:to>
      <xdr:col>16</xdr:col>
      <xdr:colOff>671078</xdr:colOff>
      <xdr:row>49</xdr:row>
      <xdr:rowOff>129885</xdr:rowOff>
    </xdr:to>
    <xdr:graphicFrame macro="">
      <xdr:nvGraphicFramePr>
        <xdr:cNvPr id="67" name="Graphiqu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9</xdr:col>
      <xdr:colOff>1035024</xdr:colOff>
      <xdr:row>0</xdr:row>
      <xdr:rowOff>0</xdr:rowOff>
    </xdr:from>
    <xdr:to>
      <xdr:col>10</xdr:col>
      <xdr:colOff>513681</xdr:colOff>
      <xdr:row>1</xdr:row>
      <xdr:rowOff>112058</xdr:rowOff>
    </xdr:to>
    <xdr:sp macro="[0]!secure" textlink="CONFIG!$C$53">
      <xdr:nvSpPr>
        <xdr:cNvPr id="69" name="Page 9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12942794" y="0"/>
          <a:ext cx="1152591" cy="52294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265C56-B960-4B19-AB1F-8DB2F3BEBE3F}" type="TxLink">
            <a:rPr lang="en-US" sz="1400" b="1" i="0" u="none" strike="noStrike">
              <a:ln>
                <a:noFill/>
              </a:ln>
              <a:solidFill>
                <a:schemeClr val="bg1"/>
              </a:solidFill>
              <a:latin typeface="Calibri"/>
              <a:cs typeface="Calibri"/>
            </a:rPr>
            <a:pPr algn="ctr"/>
            <a:t>Securite</a:t>
          </a:fld>
          <a:endParaRPr lang="fr-FR" sz="1800" b="1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80568</xdr:colOff>
      <xdr:row>48</xdr:row>
      <xdr:rowOff>166784</xdr:rowOff>
    </xdr:from>
    <xdr:to>
      <xdr:col>9</xdr:col>
      <xdr:colOff>1668939</xdr:colOff>
      <xdr:row>73</xdr:row>
      <xdr:rowOff>148107</xdr:rowOff>
    </xdr:to>
    <xdr:graphicFrame macro="">
      <xdr:nvGraphicFramePr>
        <xdr:cNvPr id="70" name="Graphiqu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476249</xdr:colOff>
      <xdr:row>0</xdr:row>
      <xdr:rowOff>11076</xdr:rowOff>
    </xdr:from>
    <xdr:to>
      <xdr:col>12</xdr:col>
      <xdr:colOff>206026</xdr:colOff>
      <xdr:row>1</xdr:row>
      <xdr:rowOff>110755</xdr:rowOff>
    </xdr:to>
    <xdr:sp macro="[0]!CMD" textlink="CONFIG!C54">
      <xdr:nvSpPr>
        <xdr:cNvPr id="68" name="Page 10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14054912" y="11076"/>
          <a:ext cx="1258207" cy="50947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63DF2A-040C-4ED2-85AC-E0DA5C57E98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alibri"/>
              <a:cs typeface="Calibri"/>
            </a:rPr>
            <a:pPr algn="ctr"/>
            <a:t>Commandes</a:t>
          </a:fld>
          <a:endParaRPr lang="fr-FR" sz="18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2</xdr:row>
          <xdr:rowOff>57150</xdr:rowOff>
        </xdr:from>
        <xdr:to>
          <xdr:col>4</xdr:col>
          <xdr:colOff>523875</xdr:colOff>
          <xdr:row>2</xdr:row>
          <xdr:rowOff>571500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306608</xdr:colOff>
      <xdr:row>1</xdr:row>
      <xdr:rowOff>275642</xdr:rowOff>
    </xdr:from>
    <xdr:to>
      <xdr:col>3</xdr:col>
      <xdr:colOff>507780</xdr:colOff>
      <xdr:row>2</xdr:row>
      <xdr:rowOff>605002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057" y="576943"/>
          <a:ext cx="3197471" cy="748393"/>
        </a:xfrm>
        <a:prstGeom prst="rect">
          <a:avLst/>
        </a:prstGeom>
      </xdr:spPr>
    </xdr:pic>
    <xdr:clientData/>
  </xdr:twoCellAnchor>
  <xdr:twoCellAnchor editAs="absolute">
    <xdr:from>
      <xdr:col>0</xdr:col>
      <xdr:colOff>49696</xdr:colOff>
      <xdr:row>0</xdr:row>
      <xdr:rowOff>0</xdr:rowOff>
    </xdr:from>
    <xdr:to>
      <xdr:col>8</xdr:col>
      <xdr:colOff>2749532</xdr:colOff>
      <xdr:row>0</xdr:row>
      <xdr:rowOff>480391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49696" y="0"/>
          <a:ext cx="14405353" cy="480391"/>
          <a:chOff x="28575" y="9525"/>
          <a:chExt cx="12159046" cy="487816"/>
        </a:xfrm>
        <a:solidFill>
          <a:schemeClr val="accent1">
            <a:lumMod val="50000"/>
          </a:schemeClr>
        </a:solidFill>
      </xdr:grpSpPr>
      <xdr:sp macro="[0]!vide" textlink="">
        <xdr:nvSpPr>
          <xdr:cNvPr id="5" name="Nav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28575" y="9525"/>
            <a:ext cx="12159046" cy="487816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home" textlink="CONFIG!$C$44">
        <xdr:nvSpPr>
          <xdr:cNvPr id="6" name="Page 1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94268" y="18882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3739BA0-A10C-4147-8841-A2DDE052CF85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Dashbord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Page.article" textlink="CONFIG!$C$45">
        <xdr:nvSpPr>
          <xdr:cNvPr id="7" name="Page 2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342427" y="28239"/>
            <a:ext cx="1064087" cy="459745"/>
          </a:xfrm>
          <a:prstGeom prst="rect">
            <a:avLst/>
          </a:prstGeom>
          <a:solidFill>
            <a:srgbClr val="47EF3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6449194-FA7E-49F7-A279-91B55B416FA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order" textlink="CONFIG!$C$46">
        <xdr:nvSpPr>
          <xdr:cNvPr id="8" name="Page 3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590587" y="37596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EFE9B49-4C7B-49AD-8495-8847EC6C2137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Order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boncmd" textlink="CONFIG!$C$47">
        <xdr:nvSpPr>
          <xdr:cNvPr id="9" name="Page 4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3857516" y="37596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 b="1">
                <a:solidFill>
                  <a:schemeClr val="bg1"/>
                </a:solidFill>
              </a:rPr>
              <a:t>BonCmd</a:t>
            </a:r>
          </a:p>
        </xdr:txBody>
      </xdr:sp>
      <xdr:sp macro="[0]!booking" textlink="CONFIG!$C$48">
        <xdr:nvSpPr>
          <xdr:cNvPr id="10" name="Page 5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508690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EE3A39-278B-4DBF-970D-4F2A586AD046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Booking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fourni" textlink="CONFIG!$C$49">
        <xdr:nvSpPr>
          <xdr:cNvPr id="11" name="Page 6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6325682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C2C04-4159-473B-B63B-1D41081E7B0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Page.client" textlink="CONFIG!$C$50">
        <xdr:nvSpPr>
          <xdr:cNvPr id="12" name="Page 7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758322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982378A-FCF4-43CA-BBBE-283AE6979052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config" textlink="CONFIG!$C$51">
        <xdr:nvSpPr>
          <xdr:cNvPr id="13" name="Page 8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8822002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63FA66-187A-4081-A3D5-53EC42902935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facture" textlink="CONFIG!$C$52">
        <xdr:nvSpPr>
          <xdr:cNvPr id="14" name="Page 9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10079546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33B1910-3002-4E46-A824-9E9D6D51C688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Facture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8</xdr:col>
      <xdr:colOff>1550375</xdr:colOff>
      <xdr:row>0</xdr:row>
      <xdr:rowOff>24848</xdr:rowOff>
    </xdr:from>
    <xdr:to>
      <xdr:col>8</xdr:col>
      <xdr:colOff>2702746</xdr:colOff>
      <xdr:row>0</xdr:row>
      <xdr:rowOff>457662</xdr:rowOff>
    </xdr:to>
    <xdr:sp macro="[0]!secure" textlink="CONFIG!$C$53">
      <xdr:nvSpPr>
        <xdr:cNvPr id="15" name="Page 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3243891" y="24848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265C56-B960-4B19-AB1F-8DB2F3BEBE3F}" type="TxLink">
            <a:rPr lang="en-US" sz="1400" b="1" i="0" u="none" strike="noStrike">
              <a:ln>
                <a:noFill/>
              </a:ln>
              <a:solidFill>
                <a:schemeClr val="bg1"/>
              </a:solidFill>
              <a:latin typeface="Calibri"/>
              <a:cs typeface="Calibri"/>
            </a:rPr>
            <a:pPr algn="ctr"/>
            <a:t>Securite</a:t>
          </a:fld>
          <a:endParaRPr lang="fr-FR" sz="1800" b="1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2732171</xdr:colOff>
      <xdr:row>0</xdr:row>
      <xdr:rowOff>0</xdr:rowOff>
    </xdr:from>
    <xdr:to>
      <xdr:col>9</xdr:col>
      <xdr:colOff>314062</xdr:colOff>
      <xdr:row>0</xdr:row>
      <xdr:rowOff>476250</xdr:rowOff>
    </xdr:to>
    <xdr:sp macro="[0]!CMD" textlink="CONFIG!C54">
      <xdr:nvSpPr>
        <xdr:cNvPr id="16" name="Page 10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4429539" y="0"/>
          <a:ext cx="1258207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63DF2A-040C-4ED2-85AC-E0DA5C57E98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alibri"/>
              <a:cs typeface="Calibri"/>
            </a:rPr>
            <a:pPr algn="ctr"/>
            <a:t>Commandes</a:t>
          </a:fld>
          <a:endParaRPr lang="fr-FR" sz="18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1</xdr:row>
          <xdr:rowOff>523875</xdr:rowOff>
        </xdr:from>
        <xdr:to>
          <xdr:col>4</xdr:col>
          <xdr:colOff>1714500</xdr:colOff>
          <xdr:row>2</xdr:row>
          <xdr:rowOff>152400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68246</xdr:colOff>
      <xdr:row>1</xdr:row>
      <xdr:rowOff>383676</xdr:rowOff>
    </xdr:from>
    <xdr:to>
      <xdr:col>4</xdr:col>
      <xdr:colOff>48979</xdr:colOff>
      <xdr:row>3</xdr:row>
      <xdr:rowOff>82826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87" y="570035"/>
          <a:ext cx="4235922" cy="744829"/>
        </a:xfrm>
        <a:prstGeom prst="rect">
          <a:avLst/>
        </a:prstGeom>
      </xdr:spPr>
    </xdr:pic>
    <xdr:clientData/>
  </xdr:twoCellAnchor>
  <xdr:twoCellAnchor editAs="absolute">
    <xdr:from>
      <xdr:col>0</xdr:col>
      <xdr:colOff>4354</xdr:colOff>
      <xdr:row>0</xdr:row>
      <xdr:rowOff>0</xdr:rowOff>
    </xdr:from>
    <xdr:to>
      <xdr:col>10</xdr:col>
      <xdr:colOff>632860</xdr:colOff>
      <xdr:row>1</xdr:row>
      <xdr:rowOff>196712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4354" y="0"/>
          <a:ext cx="13741994" cy="425607"/>
          <a:chOff x="28575" y="9525"/>
          <a:chExt cx="12159046" cy="487816"/>
        </a:xfrm>
        <a:solidFill>
          <a:schemeClr val="accent1">
            <a:lumMod val="50000"/>
          </a:schemeClr>
        </a:solidFill>
      </xdr:grpSpPr>
      <xdr:sp macro="[0]!vide" textlink="">
        <xdr:nvSpPr>
          <xdr:cNvPr id="5" name="Nav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28575" y="9525"/>
            <a:ext cx="12159046" cy="487816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home" textlink="CONFIG!$C$44">
        <xdr:nvSpPr>
          <xdr:cNvPr id="6" name="Page 1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94268" y="18882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3739BA0-A10C-4147-8841-A2DDE052CF85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Dashbord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Page.article" textlink="CONFIG!$C$45">
        <xdr:nvSpPr>
          <xdr:cNvPr id="7" name="Page 2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134242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6449194-FA7E-49F7-A279-91B55B416FA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order" textlink="CONFIG!$C$46">
        <xdr:nvSpPr>
          <xdr:cNvPr id="8" name="Page 3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2590587" y="37596"/>
            <a:ext cx="1064087" cy="459745"/>
          </a:xfrm>
          <a:prstGeom prst="rect">
            <a:avLst/>
          </a:prstGeom>
          <a:solidFill>
            <a:srgbClr val="47EF3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EFE9B49-4C7B-49AD-8495-8847EC6C2137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Order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boncmd" textlink="CONFIG!$C$47">
        <xdr:nvSpPr>
          <xdr:cNvPr id="9" name="Pag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3857516" y="37596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 b="1">
                <a:solidFill>
                  <a:schemeClr val="bg1"/>
                </a:solidFill>
              </a:rPr>
              <a:t>BonCmd</a:t>
            </a:r>
          </a:p>
        </xdr:txBody>
      </xdr:sp>
      <xdr:sp macro="[0]!booking" textlink="CONFIG!$C$48">
        <xdr:nvSpPr>
          <xdr:cNvPr id="10" name="Page 5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508690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EE3A39-278B-4DBF-970D-4F2A586AD046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Booking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fourni" textlink="CONFIG!$C$49">
        <xdr:nvSpPr>
          <xdr:cNvPr id="11" name="Page 6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6325682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C2C04-4159-473B-B63B-1D41081E7B0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Page.client" textlink="CONFIG!$C$50">
        <xdr:nvSpPr>
          <xdr:cNvPr id="12" name="Page 7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758322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982378A-FCF4-43CA-BBBE-283AE6979052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config" textlink="CONFIG!$C$51">
        <xdr:nvSpPr>
          <xdr:cNvPr id="13" name="Page 8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8822002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63FA66-187A-4081-A3D5-53EC42902935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facture" textlink="CONFIG!$C$52">
        <xdr:nvSpPr>
          <xdr:cNvPr id="14" name="Page 9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10079546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33B1910-3002-4E46-A824-9E9D6D51C688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Facture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9</xdr:col>
      <xdr:colOff>596281</xdr:colOff>
      <xdr:row>0</xdr:row>
      <xdr:rowOff>0</xdr:rowOff>
    </xdr:from>
    <xdr:to>
      <xdr:col>10</xdr:col>
      <xdr:colOff>626006</xdr:colOff>
      <xdr:row>1</xdr:row>
      <xdr:rowOff>162622</xdr:rowOff>
    </xdr:to>
    <xdr:sp macro="[0]!secure" textlink="CONFIG!$C$53">
      <xdr:nvSpPr>
        <xdr:cNvPr id="15" name="Page 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2591586" y="0"/>
          <a:ext cx="1152591" cy="394939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265C56-B960-4B19-AB1F-8DB2F3BEBE3F}" type="TxLink">
            <a:rPr lang="en-US" sz="1400" b="1" i="0" u="none" strike="noStrike">
              <a:ln>
                <a:noFill/>
              </a:ln>
              <a:solidFill>
                <a:schemeClr val="bg1"/>
              </a:solidFill>
              <a:latin typeface="Calibri"/>
              <a:cs typeface="Calibri"/>
            </a:rPr>
            <a:pPr algn="ctr"/>
            <a:t>Securite</a:t>
          </a:fld>
          <a:endParaRPr lang="fr-FR" sz="1800" b="1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619512</xdr:colOff>
      <xdr:row>0</xdr:row>
      <xdr:rowOff>0</xdr:rowOff>
    </xdr:from>
    <xdr:to>
      <xdr:col>11</xdr:col>
      <xdr:colOff>592231</xdr:colOff>
      <xdr:row>1</xdr:row>
      <xdr:rowOff>193598</xdr:rowOff>
    </xdr:to>
    <xdr:sp macro="[0]!CMD" textlink="CONFIG!C54">
      <xdr:nvSpPr>
        <xdr:cNvPr id="16" name="Pag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3737683" y="0"/>
          <a:ext cx="1258207" cy="42591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63DF2A-040C-4ED2-85AC-E0DA5C57E98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alibri"/>
              <a:cs typeface="Calibri"/>
            </a:rPr>
            <a:pPr algn="ctr"/>
            <a:t>Commandes</a:t>
          </a:fld>
          <a:endParaRPr lang="fr-FR" sz="18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68036</xdr:rowOff>
    </xdr:from>
    <xdr:to>
      <xdr:col>3</xdr:col>
      <xdr:colOff>940506</xdr:colOff>
      <xdr:row>8</xdr:row>
      <xdr:rowOff>102053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286" y="816429"/>
          <a:ext cx="4248743" cy="118212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11</xdr:col>
      <xdr:colOff>114632</xdr:colOff>
      <xdr:row>2</xdr:row>
      <xdr:rowOff>127568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0" y="0"/>
          <a:ext cx="14175913" cy="508568"/>
          <a:chOff x="28575" y="9525"/>
          <a:chExt cx="12159046" cy="487816"/>
        </a:xfrm>
        <a:solidFill>
          <a:schemeClr val="accent1">
            <a:lumMod val="50000"/>
          </a:schemeClr>
        </a:solidFill>
      </xdr:grpSpPr>
      <xdr:sp macro="[0]!vide" textlink="">
        <xdr:nvSpPr>
          <xdr:cNvPr id="4" name="Nav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28575" y="9525"/>
            <a:ext cx="12159046" cy="487816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home" textlink="CONFIG!$C$44">
        <xdr:nvSpPr>
          <xdr:cNvPr id="5" name="Page 1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94268" y="18882"/>
            <a:ext cx="1064087" cy="459745"/>
          </a:xfrm>
          <a:prstGeom prst="rect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3739BA0-A10C-4147-8841-A2DDE052CF85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Dashbord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Page.article" textlink="CONFIG!$C$45">
        <xdr:nvSpPr>
          <xdr:cNvPr id="6" name="Page 2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342427" y="28239"/>
            <a:ext cx="1064087" cy="459745"/>
          </a:xfrm>
          <a:prstGeom prst="rect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6449194-FA7E-49F7-A279-91B55B416FA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order" textlink="CONFIG!$C$46">
        <xdr:nvSpPr>
          <xdr:cNvPr id="7" name="Page 3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2590587" y="37596"/>
            <a:ext cx="1064087" cy="459745"/>
          </a:xfrm>
          <a:prstGeom prst="rect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EFE9B49-4C7B-49AD-8495-8847EC6C2137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Order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boncmd" textlink="CONFIG!$C$47">
        <xdr:nvSpPr>
          <xdr:cNvPr id="8" name="Page 4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3857516" y="37596"/>
            <a:ext cx="1064087" cy="459745"/>
          </a:xfrm>
          <a:prstGeom prst="rect">
            <a:avLst/>
          </a:prstGeom>
          <a:solidFill>
            <a:srgbClr val="47EF3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 b="1">
                <a:solidFill>
                  <a:schemeClr val="bg1"/>
                </a:solidFill>
              </a:rPr>
              <a:t>BonCmd</a:t>
            </a:r>
          </a:p>
        </xdr:txBody>
      </xdr:sp>
      <xdr:sp macro="[0]!booking" textlink="CONFIG!$C$48">
        <xdr:nvSpPr>
          <xdr:cNvPr id="9" name="Page 5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5086907" y="28239"/>
            <a:ext cx="1064087" cy="459745"/>
          </a:xfrm>
          <a:prstGeom prst="rect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EE3A39-278B-4DBF-970D-4F2A586AD046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Booking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fourni" textlink="CONFIG!$C$49">
        <xdr:nvSpPr>
          <xdr:cNvPr id="10" name="Page 6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6325682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C2C04-4159-473B-B63B-1D41081E7B0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Page.client" textlink="CONFIG!$C$50">
        <xdr:nvSpPr>
          <xdr:cNvPr id="11" name="Page 7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758322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982378A-FCF4-43CA-BBBE-283AE6979052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config" textlink="CONFIG!$C$51">
        <xdr:nvSpPr>
          <xdr:cNvPr id="12" name="Page 8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8822002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63FA66-187A-4081-A3D5-53EC42902935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facture" textlink="CONFIG!$C$52">
        <xdr:nvSpPr>
          <xdr:cNvPr id="13" name="Page 9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10079546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33B1910-3002-4E46-A824-9E9D6D51C688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Facture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9</xdr:col>
      <xdr:colOff>442232</xdr:colOff>
      <xdr:row>0</xdr:row>
      <xdr:rowOff>34018</xdr:rowOff>
    </xdr:from>
    <xdr:to>
      <xdr:col>11</xdr:col>
      <xdr:colOff>64020</xdr:colOff>
      <xdr:row>2</xdr:row>
      <xdr:rowOff>92636</xdr:rowOff>
    </xdr:to>
    <xdr:sp macro="[0]!secure" textlink="CONFIG!$C$53">
      <xdr:nvSpPr>
        <xdr:cNvPr id="14" name="Page 9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2969308" y="34018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265C56-B960-4B19-AB1F-8DB2F3BEBE3F}" type="TxLink">
            <a:rPr lang="en-US" sz="1400" b="1" i="0" u="none" strike="noStrike">
              <a:ln>
                <a:noFill/>
              </a:ln>
              <a:solidFill>
                <a:schemeClr val="bg1"/>
              </a:solidFill>
              <a:latin typeface="Calibri"/>
              <a:cs typeface="Calibri"/>
            </a:rPr>
            <a:pPr algn="ctr"/>
            <a:t>Securite</a:t>
          </a:fld>
          <a:endParaRPr lang="fr-FR" sz="1800" b="1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59532</xdr:colOff>
      <xdr:row>0</xdr:row>
      <xdr:rowOff>0</xdr:rowOff>
    </xdr:from>
    <xdr:to>
      <xdr:col>12</xdr:col>
      <xdr:colOff>552337</xdr:colOff>
      <xdr:row>2</xdr:row>
      <xdr:rowOff>127566</xdr:rowOff>
    </xdr:to>
    <xdr:sp macro="[0]!CMD" textlink="CONFIG!C54">
      <xdr:nvSpPr>
        <xdr:cNvPr id="15" name="Page 10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4117411" y="0"/>
          <a:ext cx="1258207" cy="501762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63DF2A-040C-4ED2-85AC-E0DA5C57E98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alibri"/>
              <a:cs typeface="Calibri"/>
            </a:rPr>
            <a:pPr algn="ctr"/>
            <a:t>Commandes</a:t>
          </a:fld>
          <a:endParaRPr lang="fr-FR" sz="18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2</xdr:row>
          <xdr:rowOff>76200</xdr:rowOff>
        </xdr:from>
        <xdr:to>
          <xdr:col>5</xdr:col>
          <xdr:colOff>1085850</xdr:colOff>
          <xdr:row>2</xdr:row>
          <xdr:rowOff>561975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467806</xdr:colOff>
      <xdr:row>2</xdr:row>
      <xdr:rowOff>919506</xdr:rowOff>
    </xdr:from>
    <xdr:to>
      <xdr:col>3</xdr:col>
      <xdr:colOff>1455853</xdr:colOff>
      <xdr:row>3</xdr:row>
      <xdr:rowOff>748449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37" y="1724712"/>
          <a:ext cx="3560779" cy="748744"/>
        </a:xfrm>
        <a:prstGeom prst="rect">
          <a:avLst/>
        </a:prstGeom>
      </xdr:spPr>
    </xdr:pic>
    <xdr:clientData/>
  </xdr:twoCellAnchor>
  <xdr:twoCellAnchor editAs="absolute">
    <xdr:from>
      <xdr:col>0</xdr:col>
      <xdr:colOff>180976</xdr:colOff>
      <xdr:row>0</xdr:row>
      <xdr:rowOff>9525</xdr:rowOff>
    </xdr:from>
    <xdr:to>
      <xdr:col>12</xdr:col>
      <xdr:colOff>559423</xdr:colOff>
      <xdr:row>1</xdr:row>
      <xdr:rowOff>295022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180976" y="9525"/>
          <a:ext cx="13248021" cy="480327"/>
          <a:chOff x="28575" y="9525"/>
          <a:chExt cx="11255067" cy="487816"/>
        </a:xfrm>
        <a:solidFill>
          <a:schemeClr val="accent1">
            <a:lumMod val="50000"/>
          </a:schemeClr>
        </a:solidFill>
      </xdr:grpSpPr>
      <xdr:sp macro="[0]!vide" textlink="">
        <xdr:nvSpPr>
          <xdr:cNvPr id="5" name="Nav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28575" y="9525"/>
            <a:ext cx="11255067" cy="487816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home" textlink="CONFIG!$C$44">
        <xdr:nvSpPr>
          <xdr:cNvPr id="6" name="Page 1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94268" y="18882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3739BA0-A10C-4147-8841-A2DDE052CF85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Dashbord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Page.article" textlink="CONFIG!$C$45">
        <xdr:nvSpPr>
          <xdr:cNvPr id="7" name="Page 2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34242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6449194-FA7E-49F7-A279-91B55B416FA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order" textlink="CONFIG!$C$46">
        <xdr:nvSpPr>
          <xdr:cNvPr id="8" name="Page 3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2590587" y="37596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EFE9B49-4C7B-49AD-8495-8847EC6C2137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Order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boncmd" textlink="CONFIG!$C$47">
        <xdr:nvSpPr>
          <xdr:cNvPr id="9" name="Pag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3857516" y="37596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 b="1">
                <a:solidFill>
                  <a:schemeClr val="bg1"/>
                </a:solidFill>
              </a:rPr>
              <a:t>BonCmd</a:t>
            </a:r>
          </a:p>
        </xdr:txBody>
      </xdr:sp>
      <xdr:sp macro="[0]!booking" textlink="CONFIG!$C$48">
        <xdr:nvSpPr>
          <xdr:cNvPr id="10" name="Page 5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5086907" y="28239"/>
            <a:ext cx="1064087" cy="459745"/>
          </a:xfrm>
          <a:prstGeom prst="rect">
            <a:avLst/>
          </a:prstGeom>
          <a:solidFill>
            <a:srgbClr val="47EF3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EE3A39-278B-4DBF-970D-4F2A586AD046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Booking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fourni" textlink="CONFIG!$C$49">
        <xdr:nvSpPr>
          <xdr:cNvPr id="11" name="Page 6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6325682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C2C04-4159-473B-B63B-1D41081E7B0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Page.client" textlink="CONFIG!$C$50">
        <xdr:nvSpPr>
          <xdr:cNvPr id="12" name="Page 7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758322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982378A-FCF4-43CA-BBBE-283AE6979052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config" textlink="CONFIG!$C$51">
        <xdr:nvSpPr>
          <xdr:cNvPr id="13" name="Page 8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8822002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63FA66-187A-4081-A3D5-53EC42902935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facture" textlink="CONFIG!$C$52">
        <xdr:nvSpPr>
          <xdr:cNvPr id="14" name="Page 9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10079546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33B1910-3002-4E46-A824-9E9D6D51C688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Facture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12</xdr:col>
      <xdr:colOff>533038</xdr:colOff>
      <xdr:row>0</xdr:row>
      <xdr:rowOff>0</xdr:rowOff>
    </xdr:from>
    <xdr:to>
      <xdr:col>13</xdr:col>
      <xdr:colOff>420120</xdr:colOff>
      <xdr:row>1</xdr:row>
      <xdr:rowOff>295022</xdr:rowOff>
    </xdr:to>
    <xdr:sp macro="[0]!secure" textlink="CONFIG!$C$53">
      <xdr:nvSpPr>
        <xdr:cNvPr id="15" name="Page 9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13419292" y="0"/>
          <a:ext cx="1152591" cy="48889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265C56-B960-4B19-AB1F-8DB2F3BEBE3F}" type="TxLink">
            <a:rPr lang="en-US" sz="1400" b="1" i="0" u="none" strike="noStrike">
              <a:ln>
                <a:noFill/>
              </a:ln>
              <a:solidFill>
                <a:schemeClr val="bg1"/>
              </a:solidFill>
              <a:latin typeface="Calibri"/>
              <a:cs typeface="Calibri"/>
            </a:rPr>
            <a:pPr algn="ctr"/>
            <a:t>Securite</a:t>
          </a:fld>
          <a:endParaRPr lang="fr-FR" sz="1800" b="1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6185</xdr:colOff>
      <xdr:row>0</xdr:row>
      <xdr:rowOff>0</xdr:rowOff>
    </xdr:from>
    <xdr:to>
      <xdr:col>15</xdr:col>
      <xdr:colOff>503629</xdr:colOff>
      <xdr:row>1</xdr:row>
      <xdr:rowOff>296883</xdr:rowOff>
    </xdr:to>
    <xdr:sp macro="[0]!CMD" textlink="CONFIG!C54">
      <xdr:nvSpPr>
        <xdr:cNvPr id="16" name="Page 10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4534903" y="0"/>
          <a:ext cx="1258207" cy="48862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63DF2A-040C-4ED2-85AC-E0DA5C57E98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alibri"/>
              <a:cs typeface="Calibri"/>
            </a:rPr>
            <a:pPr algn="ctr"/>
            <a:t>Commandes</a:t>
          </a:fld>
          <a:endParaRPr lang="fr-FR" sz="18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680816</xdr:colOff>
      <xdr:row>3</xdr:row>
      <xdr:rowOff>36855</xdr:rowOff>
    </xdr:from>
    <xdr:to>
      <xdr:col>5</xdr:col>
      <xdr:colOff>666988</xdr:colOff>
      <xdr:row>7</xdr:row>
      <xdr:rowOff>236879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816" y="597673"/>
          <a:ext cx="4498084" cy="94778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13</xdr:col>
      <xdr:colOff>263150</xdr:colOff>
      <xdr:row>3</xdr:row>
      <xdr:rowOff>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0" y="0"/>
          <a:ext cx="14150600" cy="571500"/>
          <a:chOff x="28575" y="9525"/>
          <a:chExt cx="12159046" cy="487816"/>
        </a:xfrm>
        <a:solidFill>
          <a:schemeClr val="accent1">
            <a:lumMod val="50000"/>
          </a:schemeClr>
        </a:solidFill>
      </xdr:grpSpPr>
      <xdr:sp macro="[0]!vide" textlink="">
        <xdr:nvSpPr>
          <xdr:cNvPr id="4" name="Nav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28575" y="9525"/>
            <a:ext cx="12159046" cy="487816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home" textlink="CONFIG!$C$44">
        <xdr:nvSpPr>
          <xdr:cNvPr id="5" name="Page 1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94268" y="18882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3739BA0-A10C-4147-8841-A2DDE052CF85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Dashbord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Page.article" textlink="CONFIG!$C$45">
        <xdr:nvSpPr>
          <xdr:cNvPr id="6" name="Page 2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134242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6449194-FA7E-49F7-A279-91B55B416FA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order" textlink="CONFIG!$C$46">
        <xdr:nvSpPr>
          <xdr:cNvPr id="7" name="Page 3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2590587" y="37596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EFE9B49-4C7B-49AD-8495-8847EC6C2137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Order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boncmd" textlink="CONFIG!$C$47">
        <xdr:nvSpPr>
          <xdr:cNvPr id="8" name="Page 4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3857516" y="37596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 b="1">
                <a:solidFill>
                  <a:schemeClr val="bg1"/>
                </a:solidFill>
              </a:rPr>
              <a:t>BonCmd</a:t>
            </a:r>
          </a:p>
        </xdr:txBody>
      </xdr:sp>
      <xdr:sp macro="[0]!booking" textlink="CONFIG!$C$48">
        <xdr:nvSpPr>
          <xdr:cNvPr id="9" name="Page 5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508690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EE3A39-278B-4DBF-970D-4F2A586AD046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Booking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fourni" textlink="CONFIG!$C$49">
        <xdr:nvSpPr>
          <xdr:cNvPr id="10" name="Page 6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6325682" y="28239"/>
            <a:ext cx="1064087" cy="459745"/>
          </a:xfrm>
          <a:prstGeom prst="rect">
            <a:avLst/>
          </a:prstGeom>
          <a:solidFill>
            <a:srgbClr val="47EF3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C2C04-4159-473B-B63B-1D41081E7B0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Page.client" textlink="CONFIG!$C$50">
        <xdr:nvSpPr>
          <xdr:cNvPr id="11" name="Page 7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758322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982378A-FCF4-43CA-BBBE-283AE6979052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config" textlink="CONFIG!$C$51">
        <xdr:nvSpPr>
          <xdr:cNvPr id="12" name="Page 8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8822002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63FA66-187A-4081-A3D5-53EC42902935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facture" textlink="CONFIG!$C$52">
        <xdr:nvSpPr>
          <xdr:cNvPr id="13" name="Page 9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10079546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33B1910-3002-4E46-A824-9E9D6D51C688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Facture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38100</xdr:rowOff>
        </xdr:from>
        <xdr:to>
          <xdr:col>8</xdr:col>
          <xdr:colOff>133350</xdr:colOff>
          <xdr:row>6</xdr:row>
          <xdr:rowOff>142875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605327</xdr:colOff>
      <xdr:row>0</xdr:row>
      <xdr:rowOff>71216</xdr:rowOff>
    </xdr:from>
    <xdr:to>
      <xdr:col>13</xdr:col>
      <xdr:colOff>226796</xdr:colOff>
      <xdr:row>2</xdr:row>
      <xdr:rowOff>130151</xdr:rowOff>
    </xdr:to>
    <xdr:sp macro="[0]!secure" textlink="CONFIG!$C$53">
      <xdr:nvSpPr>
        <xdr:cNvPr id="15" name="Page 9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978925" y="71216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265C56-B960-4B19-AB1F-8DB2F3BEBE3F}" type="TxLink">
            <a:rPr lang="en-US" sz="1400" b="1" i="0" u="none" strike="noStrike">
              <a:ln>
                <a:noFill/>
              </a:ln>
              <a:solidFill>
                <a:schemeClr val="bg1"/>
              </a:solidFill>
              <a:latin typeface="Calibri"/>
              <a:cs typeface="Calibri"/>
            </a:rPr>
            <a:pPr algn="ctr"/>
            <a:t>Securite</a:t>
          </a:fld>
          <a:endParaRPr lang="fr-FR" sz="1800" b="1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240351</xdr:colOff>
      <xdr:row>0</xdr:row>
      <xdr:rowOff>0</xdr:rowOff>
    </xdr:from>
    <xdr:to>
      <xdr:col>14</xdr:col>
      <xdr:colOff>732998</xdr:colOff>
      <xdr:row>3</xdr:row>
      <xdr:rowOff>0</xdr:rowOff>
    </xdr:to>
    <xdr:sp macro="[0]!CMD" textlink="CONFIG!C54">
      <xdr:nvSpPr>
        <xdr:cNvPr id="16" name="Page 10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4145071" y="0"/>
          <a:ext cx="1258207" cy="560818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63DF2A-040C-4ED2-85AC-E0DA5C57E98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alibri"/>
              <a:cs typeface="Calibri"/>
            </a:rPr>
            <a:pPr algn="ctr"/>
            <a:t>Commandes</a:t>
          </a:fld>
          <a:endParaRPr lang="fr-FR" sz="18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2</xdr:row>
      <xdr:rowOff>142875</xdr:rowOff>
    </xdr:from>
    <xdr:to>
      <xdr:col>3</xdr:col>
      <xdr:colOff>1010243</xdr:colOff>
      <xdr:row>7</xdr:row>
      <xdr:rowOff>47625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523875"/>
          <a:ext cx="4248743" cy="857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142875</xdr:rowOff>
        </xdr:from>
        <xdr:to>
          <xdr:col>5</xdr:col>
          <xdr:colOff>628650</xdr:colOff>
          <xdr:row>6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514350</xdr:colOff>
      <xdr:row>0</xdr:row>
      <xdr:rowOff>0</xdr:rowOff>
    </xdr:from>
    <xdr:to>
      <xdr:col>10</xdr:col>
      <xdr:colOff>12919</xdr:colOff>
      <xdr:row>2</xdr:row>
      <xdr:rowOff>90322</xdr:rowOff>
    </xdr:to>
    <xdr:sp macro="[0]!vide" textlink="">
      <xdr:nvSpPr>
        <xdr:cNvPr id="6" name="Nav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514350" y="0"/>
          <a:ext cx="14155573" cy="468038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57102</xdr:colOff>
      <xdr:row>0</xdr:row>
      <xdr:rowOff>8978</xdr:rowOff>
    </xdr:from>
    <xdr:to>
      <xdr:col>1</xdr:col>
      <xdr:colOff>1295913</xdr:colOff>
      <xdr:row>2</xdr:row>
      <xdr:rowOff>72367</xdr:rowOff>
    </xdr:to>
    <xdr:sp macro="[0]!home" textlink="CONFIG!$C$44">
      <xdr:nvSpPr>
        <xdr:cNvPr id="7" name="Page 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0830" y="8978"/>
          <a:ext cx="1238811" cy="44110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3739BA0-A10C-4147-8841-A2DDE052CF85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Dashbord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1510210</xdr:colOff>
      <xdr:row>0</xdr:row>
      <xdr:rowOff>17955</xdr:rowOff>
    </xdr:from>
    <xdr:to>
      <xdr:col>2</xdr:col>
      <xdr:colOff>1032878</xdr:colOff>
      <xdr:row>2</xdr:row>
      <xdr:rowOff>81344</xdr:rowOff>
    </xdr:to>
    <xdr:sp macro="[0]!Page.article" textlink="CONFIG!$C$45">
      <xdr:nvSpPr>
        <xdr:cNvPr id="8" name="Pag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043938" y="17955"/>
          <a:ext cx="1238811" cy="44110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6449194-FA7E-49F7-A279-91B55B416FAD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Article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1247176</xdr:colOff>
      <xdr:row>0</xdr:row>
      <xdr:rowOff>26933</xdr:rowOff>
    </xdr:from>
    <xdr:to>
      <xdr:col>3</xdr:col>
      <xdr:colOff>942280</xdr:colOff>
      <xdr:row>2</xdr:row>
      <xdr:rowOff>90322</xdr:rowOff>
    </xdr:to>
    <xdr:sp macro="[0]!order" textlink="CONFIG!$C$46">
      <xdr:nvSpPr>
        <xdr:cNvPr id="9" name="Page 3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497047" y="26933"/>
          <a:ext cx="1238811" cy="44110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EFE9B49-4C7B-49AD-8495-8847EC6C2137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Order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1178429</xdr:colOff>
      <xdr:row>0</xdr:row>
      <xdr:rowOff>26933</xdr:rowOff>
    </xdr:from>
    <xdr:to>
      <xdr:col>5</xdr:col>
      <xdr:colOff>192003</xdr:colOff>
      <xdr:row>2</xdr:row>
      <xdr:rowOff>90322</xdr:rowOff>
    </xdr:to>
    <xdr:sp macro="[0]!boncmd" textlink="CONFIG!$C$47">
      <xdr:nvSpPr>
        <xdr:cNvPr id="10" name="Page 4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972007" y="26933"/>
          <a:ext cx="1238811" cy="44110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bg1"/>
              </a:solidFill>
            </a:rPr>
            <a:t>BonCmd</a:t>
          </a:r>
        </a:p>
      </xdr:txBody>
    </xdr:sp>
    <xdr:clientData/>
  </xdr:twoCellAnchor>
  <xdr:twoCellAnchor editAs="absolute">
    <xdr:from>
      <xdr:col>5</xdr:col>
      <xdr:colOff>384450</xdr:colOff>
      <xdr:row>0</xdr:row>
      <xdr:rowOff>17955</xdr:rowOff>
    </xdr:from>
    <xdr:to>
      <xdr:col>6</xdr:col>
      <xdr:colOff>572227</xdr:colOff>
      <xdr:row>2</xdr:row>
      <xdr:rowOff>81344</xdr:rowOff>
    </xdr:to>
    <xdr:sp macro="[0]!booking" textlink="CONFIG!$C$48">
      <xdr:nvSpPr>
        <xdr:cNvPr id="11" name="Page 5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6403265" y="17955"/>
          <a:ext cx="1238811" cy="44110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EE3A39-278B-4DBF-970D-4F2A586AD046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Booking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6</xdr:col>
      <xdr:colOff>775599</xdr:colOff>
      <xdr:row>0</xdr:row>
      <xdr:rowOff>17955</xdr:rowOff>
    </xdr:from>
    <xdr:to>
      <xdr:col>7</xdr:col>
      <xdr:colOff>963375</xdr:colOff>
      <xdr:row>2</xdr:row>
      <xdr:rowOff>81344</xdr:rowOff>
    </xdr:to>
    <xdr:sp macro="[0]!fourni" textlink="CONFIG!$C$49">
      <xdr:nvSpPr>
        <xdr:cNvPr id="12" name="Page 6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7845448" y="17955"/>
          <a:ext cx="1238811" cy="44110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5DC2C04-4159-473B-B63B-1D41081E7B00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Fournisseur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7</xdr:col>
      <xdr:colOff>1188599</xdr:colOff>
      <xdr:row>0</xdr:row>
      <xdr:rowOff>17955</xdr:rowOff>
    </xdr:from>
    <xdr:to>
      <xdr:col>7</xdr:col>
      <xdr:colOff>2427410</xdr:colOff>
      <xdr:row>2</xdr:row>
      <xdr:rowOff>81344</xdr:rowOff>
    </xdr:to>
    <xdr:sp macro="[0]!Page.client" textlink="CONFIG!$C$50">
      <xdr:nvSpPr>
        <xdr:cNvPr id="13" name="Page 7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9309483" y="17955"/>
          <a:ext cx="1238811" cy="441105"/>
        </a:xfrm>
        <a:prstGeom prst="rect">
          <a:avLst/>
        </a:prstGeom>
        <a:solidFill>
          <a:srgbClr val="47EF3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982378A-FCF4-43CA-BBBE-283AE6979052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Client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7</xdr:col>
      <xdr:colOff>2630782</xdr:colOff>
      <xdr:row>0</xdr:row>
      <xdr:rowOff>17955</xdr:rowOff>
    </xdr:from>
    <xdr:to>
      <xdr:col>8</xdr:col>
      <xdr:colOff>1077783</xdr:colOff>
      <xdr:row>2</xdr:row>
      <xdr:rowOff>81344</xdr:rowOff>
    </xdr:to>
    <xdr:sp macro="[0]!config" textlink="CONFIG!$C$51">
      <xdr:nvSpPr>
        <xdr:cNvPr id="14" name="Pag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0751666" y="17955"/>
          <a:ext cx="1238811" cy="44110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163FA66-187A-4081-A3D5-53EC42902935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Config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1303006</xdr:colOff>
      <xdr:row>0</xdr:row>
      <xdr:rowOff>17955</xdr:rowOff>
    </xdr:from>
    <xdr:to>
      <xdr:col>9</xdr:col>
      <xdr:colOff>464382</xdr:colOff>
      <xdr:row>2</xdr:row>
      <xdr:rowOff>81344</xdr:rowOff>
    </xdr:to>
    <xdr:sp macro="[0]!facture" textlink="CONFIG!$C$52">
      <xdr:nvSpPr>
        <xdr:cNvPr id="15" name="Page 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2215700" y="17955"/>
          <a:ext cx="1238811" cy="44110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33B1910-3002-4E46-A824-9E9D6D51C688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Facture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9</xdr:col>
      <xdr:colOff>500883</xdr:colOff>
      <xdr:row>0</xdr:row>
      <xdr:rowOff>32845</xdr:rowOff>
    </xdr:from>
    <xdr:to>
      <xdr:col>9</xdr:col>
      <xdr:colOff>1653474</xdr:colOff>
      <xdr:row>2</xdr:row>
      <xdr:rowOff>87943</xdr:rowOff>
    </xdr:to>
    <xdr:sp macro="[0]!secure" textlink="CONFIG!$C$53">
      <xdr:nvSpPr>
        <xdr:cNvPr id="20" name="Page 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13491012" y="32845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265C56-B960-4B19-AB1F-8DB2F3BEBE3F}" type="TxLink">
            <a:rPr lang="en-US" sz="1400" b="1" i="0" u="none" strike="noStrike">
              <a:ln>
                <a:noFill/>
              </a:ln>
              <a:solidFill>
                <a:schemeClr val="bg1"/>
              </a:solidFill>
              <a:latin typeface="Calibri"/>
              <a:cs typeface="Calibri"/>
            </a:rPr>
            <a:pPr algn="ctr"/>
            <a:t>Securite</a:t>
          </a:fld>
          <a:endParaRPr lang="fr-FR" sz="1800" b="1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1640066</xdr:colOff>
      <xdr:row>0</xdr:row>
      <xdr:rowOff>0</xdr:rowOff>
    </xdr:from>
    <xdr:to>
      <xdr:col>10</xdr:col>
      <xdr:colOff>1232975</xdr:colOff>
      <xdr:row>2</xdr:row>
      <xdr:rowOff>88311</xdr:rowOff>
    </xdr:to>
    <xdr:sp macro="[0]!CMD" textlink="CONFIG!C54">
      <xdr:nvSpPr>
        <xdr:cNvPr id="16" name="Page 1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4615513" y="0"/>
          <a:ext cx="1258207" cy="466788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63DF2A-040C-4ED2-85AC-E0DA5C57E98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alibri"/>
              <a:cs typeface="Calibri"/>
            </a:rPr>
            <a:pPr algn="ctr"/>
            <a:t>Commandes</a:t>
          </a:fld>
          <a:endParaRPr lang="fr-FR" sz="18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530440</xdr:colOff>
      <xdr:row>36</xdr:row>
      <xdr:rowOff>114651</xdr:rowOff>
    </xdr:from>
    <xdr:ext cx="1559439" cy="233205"/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 txBox="1"/>
      </xdr:nvSpPr>
      <xdr:spPr>
        <a:xfrm>
          <a:off x="12852142" y="7167204"/>
          <a:ext cx="1559439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fr-FR" sz="900"/>
        </a:p>
      </xdr:txBody>
    </xdr:sp>
    <xdr:clientData/>
  </xdr:oneCellAnchor>
  <xdr:oneCellAnchor>
    <xdr:from>
      <xdr:col>10</xdr:col>
      <xdr:colOff>210246</xdr:colOff>
      <xdr:row>44</xdr:row>
      <xdr:rowOff>5157</xdr:rowOff>
    </xdr:from>
    <xdr:ext cx="1581195" cy="233205"/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9485094" y="8587278"/>
          <a:ext cx="158119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fr-FR" sz="900"/>
        </a:p>
      </xdr:txBody>
    </xdr:sp>
    <xdr:clientData/>
  </xdr:oneCellAnchor>
  <xdr:twoCellAnchor editAs="oneCell">
    <xdr:from>
      <xdr:col>0</xdr:col>
      <xdr:colOff>250168</xdr:colOff>
      <xdr:row>4</xdr:row>
      <xdr:rowOff>35254</xdr:rowOff>
    </xdr:from>
    <xdr:to>
      <xdr:col>3</xdr:col>
      <xdr:colOff>720994</xdr:colOff>
      <xdr:row>9</xdr:row>
      <xdr:rowOff>120431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168" y="779737"/>
          <a:ext cx="4252575" cy="1015780"/>
        </a:xfrm>
        <a:prstGeom prst="rect">
          <a:avLst/>
        </a:prstGeom>
        <a:solidFill>
          <a:schemeClr val="accent1">
            <a:lumMod val="50000"/>
          </a:schemeClr>
        </a:solidFill>
      </xdr:spPr>
    </xdr:pic>
    <xdr:clientData/>
  </xdr:twoCellAnchor>
  <xdr:twoCellAnchor editAs="absolute">
    <xdr:from>
      <xdr:col>0</xdr:col>
      <xdr:colOff>28575</xdr:colOff>
      <xdr:row>0</xdr:row>
      <xdr:rowOff>0</xdr:rowOff>
    </xdr:from>
    <xdr:to>
      <xdr:col>13</xdr:col>
      <xdr:colOff>59532</xdr:colOff>
      <xdr:row>2</xdr:row>
      <xdr:rowOff>85045</xdr:rowOff>
    </xdr:to>
    <xdr:sp macro="[0]!se" textlink="">
      <xdr:nvSpPr>
        <xdr:cNvPr id="2" name="Nav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8575" y="0"/>
          <a:ext cx="13170354" cy="45924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/>
        </a:p>
      </xdr:txBody>
    </xdr:sp>
    <xdr:clientData/>
  </xdr:twoCellAnchor>
  <xdr:twoCellAnchor editAs="absolute">
    <xdr:from>
      <xdr:col>0</xdr:col>
      <xdr:colOff>99732</xdr:colOff>
      <xdr:row>0</xdr:row>
      <xdr:rowOff>8809</xdr:rowOff>
    </xdr:from>
    <xdr:to>
      <xdr:col>1</xdr:col>
      <xdr:colOff>486921</xdr:colOff>
      <xdr:row>2</xdr:row>
      <xdr:rowOff>67427</xdr:rowOff>
    </xdr:to>
    <xdr:sp macro="[0]!home" textlink="CONFIG!$C$44">
      <xdr:nvSpPr>
        <xdr:cNvPr id="3" name="Pag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9732" y="8809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3739BA0-A10C-4147-8841-A2DDE052CF85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Dashbord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686302</xdr:colOff>
      <xdr:row>0</xdr:row>
      <xdr:rowOff>17618</xdr:rowOff>
    </xdr:from>
    <xdr:to>
      <xdr:col>2</xdr:col>
      <xdr:colOff>495188</xdr:colOff>
      <xdr:row>2</xdr:row>
      <xdr:rowOff>76236</xdr:rowOff>
    </xdr:to>
    <xdr:sp macro="[0]!Page.article" textlink="CONFIG!$C$45">
      <xdr:nvSpPr>
        <xdr:cNvPr id="7" name="Page 2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451704" y="17618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6449194-FA7E-49F7-A279-91B55B416FAD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Article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694571</xdr:colOff>
      <xdr:row>0</xdr:row>
      <xdr:rowOff>26427</xdr:rowOff>
    </xdr:from>
    <xdr:to>
      <xdr:col>3</xdr:col>
      <xdr:colOff>180287</xdr:colOff>
      <xdr:row>2</xdr:row>
      <xdr:rowOff>85045</xdr:rowOff>
    </xdr:to>
    <xdr:sp macro="[0]!order" textlink="CONFIG!$C$46">
      <xdr:nvSpPr>
        <xdr:cNvPr id="8" name="Page 3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803678" y="26427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EFE9B49-4C7B-49AD-8495-8847EC6C2137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Order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400000</xdr:colOff>
      <xdr:row>0</xdr:row>
      <xdr:rowOff>26427</xdr:rowOff>
    </xdr:from>
    <xdr:to>
      <xdr:col>3</xdr:col>
      <xdr:colOff>1552591</xdr:colOff>
      <xdr:row>2</xdr:row>
      <xdr:rowOff>85045</xdr:rowOff>
    </xdr:to>
    <xdr:sp macro="[0]!boncmd" textlink="CONFIG!$C$47">
      <xdr:nvSpPr>
        <xdr:cNvPr id="9" name="Page 4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4175982" y="26427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bg1"/>
              </a:solidFill>
            </a:rPr>
            <a:t>BonCmd</a:t>
          </a:r>
        </a:p>
      </xdr:txBody>
    </xdr:sp>
    <xdr:clientData/>
  </xdr:twoCellAnchor>
  <xdr:twoCellAnchor editAs="absolute">
    <xdr:from>
      <xdr:col>3</xdr:col>
      <xdr:colOff>1731643</xdr:colOff>
      <xdr:row>0</xdr:row>
      <xdr:rowOff>17618</xdr:rowOff>
    </xdr:from>
    <xdr:to>
      <xdr:col>5</xdr:col>
      <xdr:colOff>239345</xdr:colOff>
      <xdr:row>2</xdr:row>
      <xdr:rowOff>76236</xdr:rowOff>
    </xdr:to>
    <xdr:sp macro="[0]!booking" textlink="CONFIG!$C$48">
      <xdr:nvSpPr>
        <xdr:cNvPr id="10" name="Page 5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5507625" y="17618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EE3A39-278B-4DBF-970D-4F2A586AD046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Booking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428562</xdr:colOff>
      <xdr:row>0</xdr:row>
      <xdr:rowOff>17618</xdr:rowOff>
    </xdr:from>
    <xdr:to>
      <xdr:col>6</xdr:col>
      <xdr:colOff>875283</xdr:colOff>
      <xdr:row>2</xdr:row>
      <xdr:rowOff>76236</xdr:rowOff>
    </xdr:to>
    <xdr:sp macro="[0]!fourni" textlink="CONFIG!$C$49">
      <xdr:nvSpPr>
        <xdr:cNvPr id="11" name="Page 6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6849433" y="17618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5DC2C04-4159-473B-B63B-1D41081E7B00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Fournisseur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6</xdr:col>
      <xdr:colOff>1084831</xdr:colOff>
      <xdr:row>0</xdr:row>
      <xdr:rowOff>17618</xdr:rowOff>
    </xdr:from>
    <xdr:to>
      <xdr:col>8</xdr:col>
      <xdr:colOff>162333</xdr:colOff>
      <xdr:row>2</xdr:row>
      <xdr:rowOff>76236</xdr:rowOff>
    </xdr:to>
    <xdr:sp macro="[0]!Page.client" textlink="CONFIG!$C$50">
      <xdr:nvSpPr>
        <xdr:cNvPr id="12" name="Page 7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8211572" y="17618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982378A-FCF4-43CA-BBBE-283AE6979052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Client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351550</xdr:colOff>
      <xdr:row>0</xdr:row>
      <xdr:rowOff>17618</xdr:rowOff>
    </xdr:from>
    <xdr:to>
      <xdr:col>9</xdr:col>
      <xdr:colOff>628181</xdr:colOff>
      <xdr:row>2</xdr:row>
      <xdr:rowOff>76236</xdr:rowOff>
    </xdr:to>
    <xdr:sp macro="[0]!se" textlink="CONFIG!$C$51">
      <xdr:nvSpPr>
        <xdr:cNvPr id="13" name="Page 8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9553380" y="17618"/>
          <a:ext cx="1152591" cy="432814"/>
        </a:xfrm>
        <a:prstGeom prst="rect">
          <a:avLst/>
        </a:prstGeom>
        <a:solidFill>
          <a:srgbClr val="47EF3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163FA66-187A-4081-A3D5-53EC42902935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Config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10</xdr:col>
      <xdr:colOff>72326</xdr:colOff>
      <xdr:row>0</xdr:row>
      <xdr:rowOff>17618</xdr:rowOff>
    </xdr:from>
    <xdr:to>
      <xdr:col>11</xdr:col>
      <xdr:colOff>459515</xdr:colOff>
      <xdr:row>2</xdr:row>
      <xdr:rowOff>76236</xdr:rowOff>
    </xdr:to>
    <xdr:sp macro="[0]!facture" textlink="CONFIG!$C$52">
      <xdr:nvSpPr>
        <xdr:cNvPr id="14" name="Page 9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0915518" y="17618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33B1910-3002-4E46-A824-9E9D6D51C688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Facture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425223</xdr:colOff>
      <xdr:row>0</xdr:row>
      <xdr:rowOff>0</xdr:rowOff>
    </xdr:from>
    <xdr:to>
      <xdr:col>13</xdr:col>
      <xdr:colOff>47011</xdr:colOff>
      <xdr:row>2</xdr:row>
      <xdr:rowOff>58618</xdr:rowOff>
    </xdr:to>
    <xdr:sp macro="[0]!secure" textlink="CONFIG!$C$53">
      <xdr:nvSpPr>
        <xdr:cNvPr id="38" name="Page 9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>
        <a:xfrm>
          <a:off x="12033817" y="0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265C56-B960-4B19-AB1F-8DB2F3BEBE3F}" type="TxLink">
            <a:rPr lang="en-US" sz="1400" b="1" i="0" u="none" strike="noStrike">
              <a:ln>
                <a:noFill/>
              </a:ln>
              <a:solidFill>
                <a:schemeClr val="bg1"/>
              </a:solidFill>
              <a:latin typeface="Calibri"/>
              <a:cs typeface="Calibri"/>
            </a:rPr>
            <a:pPr algn="ctr"/>
            <a:t>Securite</a:t>
          </a:fld>
          <a:endParaRPr lang="fr-FR" sz="1800" b="1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25514</xdr:colOff>
      <xdr:row>0</xdr:row>
      <xdr:rowOff>0</xdr:rowOff>
    </xdr:from>
    <xdr:to>
      <xdr:col>14</xdr:col>
      <xdr:colOff>518319</xdr:colOff>
      <xdr:row>2</xdr:row>
      <xdr:rowOff>83004</xdr:rowOff>
    </xdr:to>
    <xdr:sp macro="[0]!CMD" textlink="CONFIG!C54">
      <xdr:nvSpPr>
        <xdr:cNvPr id="16" name="Page 10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3164911" y="0"/>
          <a:ext cx="1258207" cy="45720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63DF2A-040C-4ED2-85AC-E0DA5C57E98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alibri"/>
              <a:cs typeface="Calibri"/>
            </a:rPr>
            <a:pPr algn="ctr"/>
            <a:t>Commandes</a:t>
          </a:fld>
          <a:endParaRPr lang="fr-FR" sz="18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194271</xdr:colOff>
      <xdr:row>3</xdr:row>
      <xdr:rowOff>82362</xdr:rowOff>
    </xdr:from>
    <xdr:to>
      <xdr:col>5</xdr:col>
      <xdr:colOff>8703</xdr:colOff>
      <xdr:row>5</xdr:row>
      <xdr:rowOff>128701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2118" y="648204"/>
          <a:ext cx="4246857" cy="829086"/>
        </a:xfrm>
        <a:prstGeom prst="rect">
          <a:avLst/>
        </a:prstGeom>
      </xdr:spPr>
    </xdr:pic>
    <xdr:clientData/>
  </xdr:twoCellAnchor>
  <xdr:twoCellAnchor editAs="absolute">
    <xdr:from>
      <xdr:col>0</xdr:col>
      <xdr:colOff>36286</xdr:colOff>
      <xdr:row>0</xdr:row>
      <xdr:rowOff>9070</xdr:rowOff>
    </xdr:from>
    <xdr:to>
      <xdr:col>12</xdr:col>
      <xdr:colOff>696264</xdr:colOff>
      <xdr:row>2</xdr:row>
      <xdr:rowOff>63499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36286" y="9070"/>
          <a:ext cx="12952620" cy="431835"/>
          <a:chOff x="28575" y="9525"/>
          <a:chExt cx="11115058" cy="487816"/>
        </a:xfrm>
        <a:solidFill>
          <a:schemeClr val="accent1">
            <a:lumMod val="50000"/>
          </a:schemeClr>
        </a:solidFill>
      </xdr:grpSpPr>
      <xdr:sp macro="[0]!vide" textlink="">
        <xdr:nvSpPr>
          <xdr:cNvPr id="4" name="Nav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28575" y="9525"/>
            <a:ext cx="11101378" cy="487816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home" textlink="CONFIG!$C$44">
        <xdr:nvSpPr>
          <xdr:cNvPr id="5" name="Page 1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94268" y="18882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3739BA0-A10C-4147-8841-A2DDE052CF85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Dashbord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Page.article" textlink="CONFIG!$C$45">
        <xdr:nvSpPr>
          <xdr:cNvPr id="6" name="Page 2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134242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6449194-FA7E-49F7-A279-91B55B416FA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order" textlink="CONFIG!$C$46">
        <xdr:nvSpPr>
          <xdr:cNvPr id="7" name="Page 3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2590587" y="37596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EFE9B49-4C7B-49AD-8495-8847EC6C2137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Order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boncmd" textlink="CONFIG!$C$47">
        <xdr:nvSpPr>
          <xdr:cNvPr id="8" name="Page 4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/>
        </xdr:nvSpPr>
        <xdr:spPr>
          <a:xfrm>
            <a:off x="3857516" y="37596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 b="1">
                <a:solidFill>
                  <a:schemeClr val="bg1"/>
                </a:solidFill>
              </a:rPr>
              <a:t>BonCmd</a:t>
            </a:r>
          </a:p>
        </xdr:txBody>
      </xdr:sp>
      <xdr:sp macro="[0]!booking" textlink="CONFIG!$C$48">
        <xdr:nvSpPr>
          <xdr:cNvPr id="9" name="Page 5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/>
        </xdr:nvSpPr>
        <xdr:spPr>
          <a:xfrm>
            <a:off x="508690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EE3A39-278B-4DBF-970D-4F2A586AD046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Booking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fourni" textlink="CONFIG!$C$49">
        <xdr:nvSpPr>
          <xdr:cNvPr id="10" name="Page 6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/>
        </xdr:nvSpPr>
        <xdr:spPr>
          <a:xfrm>
            <a:off x="6325682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5DC2C04-4159-473B-B63B-1D41081E7B0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Page.client" textlink="CONFIG!$C$50">
        <xdr:nvSpPr>
          <xdr:cNvPr id="11" name="Page 7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SpPr/>
        </xdr:nvSpPr>
        <xdr:spPr>
          <a:xfrm>
            <a:off x="7583227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982378A-FCF4-43CA-BBBE-283AE6979052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config" textlink="CONFIG!$C$51">
        <xdr:nvSpPr>
          <xdr:cNvPr id="12" name="Page 8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8822002" y="28239"/>
            <a:ext cx="1064087" cy="45974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63FA66-187A-4081-A3D5-53EC42902935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[0]!facture" textlink="CONFIG!$C$52">
        <xdr:nvSpPr>
          <xdr:cNvPr id="13" name="Page 9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10079546" y="28239"/>
            <a:ext cx="1064087" cy="459745"/>
          </a:xfrm>
          <a:prstGeom prst="rect">
            <a:avLst/>
          </a:prstGeom>
          <a:solidFill>
            <a:srgbClr val="47EF3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33B1910-3002-4E46-A824-9E9D6D51C688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Facture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12</xdr:col>
      <xdr:colOff>672353</xdr:colOff>
      <xdr:row>0</xdr:row>
      <xdr:rowOff>0</xdr:rowOff>
    </xdr:from>
    <xdr:to>
      <xdr:col>14</xdr:col>
      <xdr:colOff>304146</xdr:colOff>
      <xdr:row>2</xdr:row>
      <xdr:rowOff>48612</xdr:rowOff>
    </xdr:to>
    <xdr:sp macro="[0]!secure" textlink="CONFIG!$C$53">
      <xdr:nvSpPr>
        <xdr:cNvPr id="38" name="Page 9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>
        <a:xfrm>
          <a:off x="12934790" y="0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265C56-B960-4B19-AB1F-8DB2F3BEBE3F}" type="TxLink">
            <a:rPr lang="en-US" sz="1400" b="1" i="0" u="none" strike="noStrike">
              <a:ln>
                <a:noFill/>
              </a:ln>
              <a:solidFill>
                <a:schemeClr val="bg1"/>
              </a:solidFill>
              <a:latin typeface="Calibri"/>
              <a:cs typeface="Calibri"/>
            </a:rPr>
            <a:pPr algn="ctr"/>
            <a:t>Securite</a:t>
          </a:fld>
          <a:endParaRPr lang="fr-FR" sz="1800" b="1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249869</xdr:colOff>
      <xdr:row>0</xdr:row>
      <xdr:rowOff>0</xdr:rowOff>
    </xdr:from>
    <xdr:to>
      <xdr:col>15</xdr:col>
      <xdr:colOff>747676</xdr:colOff>
      <xdr:row>2</xdr:row>
      <xdr:rowOff>48025</xdr:rowOff>
    </xdr:to>
    <xdr:sp macro="[0]!CMD" textlink="CONFIG!C54">
      <xdr:nvSpPr>
        <xdr:cNvPr id="15" name="Page 10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4079918" y="0"/>
          <a:ext cx="1262314" cy="424012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63DF2A-040C-4ED2-85AC-E0DA5C57E98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alibri"/>
              <a:cs typeface="Calibri"/>
            </a:rPr>
            <a:pPr algn="ctr"/>
            <a:t>Commandes</a:t>
          </a:fld>
          <a:endParaRPr lang="fr-FR" sz="18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3</xdr:row>
          <xdr:rowOff>171450</xdr:rowOff>
        </xdr:from>
        <xdr:to>
          <xdr:col>1</xdr:col>
          <xdr:colOff>1028700</xdr:colOff>
          <xdr:row>9</xdr:row>
          <xdr:rowOff>104775</xdr:rowOff>
        </xdr:to>
        <xdr:sp macro="" textlink="">
          <xdr:nvSpPr>
            <xdr:cNvPr id="11266" name="Image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13</xdr:row>
          <xdr:rowOff>114300</xdr:rowOff>
        </xdr:from>
        <xdr:to>
          <xdr:col>1</xdr:col>
          <xdr:colOff>1009650</xdr:colOff>
          <xdr:row>19</xdr:row>
          <xdr:rowOff>47625</xdr:rowOff>
        </xdr:to>
        <xdr:sp macro="" textlink="">
          <xdr:nvSpPr>
            <xdr:cNvPr id="11267" name="Image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10</xdr:row>
          <xdr:rowOff>47625</xdr:rowOff>
        </xdr:from>
        <xdr:to>
          <xdr:col>1</xdr:col>
          <xdr:colOff>962025</xdr:colOff>
          <xdr:row>11</xdr:row>
          <xdr:rowOff>104775</xdr:rowOff>
        </xdr:to>
        <xdr:sp macro="" textlink="">
          <xdr:nvSpPr>
            <xdr:cNvPr id="11270" name="Label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9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19</xdr:row>
          <xdr:rowOff>76200</xdr:rowOff>
        </xdr:from>
        <xdr:to>
          <xdr:col>1</xdr:col>
          <xdr:colOff>942975</xdr:colOff>
          <xdr:row>20</xdr:row>
          <xdr:rowOff>133350</xdr:rowOff>
        </xdr:to>
        <xdr:sp macro="" textlink="">
          <xdr:nvSpPr>
            <xdr:cNvPr id="11272" name="Label2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9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21</xdr:row>
          <xdr:rowOff>180975</xdr:rowOff>
        </xdr:from>
        <xdr:to>
          <xdr:col>1</xdr:col>
          <xdr:colOff>962025</xdr:colOff>
          <xdr:row>28</xdr:row>
          <xdr:rowOff>47625</xdr:rowOff>
        </xdr:to>
        <xdr:sp macro="" textlink="">
          <xdr:nvSpPr>
            <xdr:cNvPr id="11273" name="Image3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9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29</xdr:row>
          <xdr:rowOff>9525</xdr:rowOff>
        </xdr:from>
        <xdr:to>
          <xdr:col>1</xdr:col>
          <xdr:colOff>942975</xdr:colOff>
          <xdr:row>30</xdr:row>
          <xdr:rowOff>66675</xdr:rowOff>
        </xdr:to>
        <xdr:sp macro="" textlink="">
          <xdr:nvSpPr>
            <xdr:cNvPr id="11274" name="Label3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9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104775</xdr:colOff>
      <xdr:row>0</xdr:row>
      <xdr:rowOff>0</xdr:rowOff>
    </xdr:from>
    <xdr:to>
      <xdr:col>9</xdr:col>
      <xdr:colOff>1324428</xdr:colOff>
      <xdr:row>0</xdr:row>
      <xdr:rowOff>459241</xdr:rowOff>
    </xdr:to>
    <xdr:sp macro="[0]!vide" textlink="">
      <xdr:nvSpPr>
        <xdr:cNvPr id="4" name="Nav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104775" y="0"/>
          <a:ext cx="13253927" cy="45924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/>
        </a:p>
      </xdr:txBody>
    </xdr:sp>
    <xdr:clientData/>
  </xdr:twoCellAnchor>
  <xdr:twoCellAnchor>
    <xdr:from>
      <xdr:col>0</xdr:col>
      <xdr:colOff>175932</xdr:colOff>
      <xdr:row>0</xdr:row>
      <xdr:rowOff>8809</xdr:rowOff>
    </xdr:from>
    <xdr:to>
      <xdr:col>1</xdr:col>
      <xdr:colOff>566523</xdr:colOff>
      <xdr:row>0</xdr:row>
      <xdr:rowOff>441623</xdr:rowOff>
    </xdr:to>
    <xdr:sp macro="[0]!home" textlink="CONFIG!$C$44">
      <xdr:nvSpPr>
        <xdr:cNvPr id="5" name="Page 1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75932" y="8809"/>
          <a:ext cx="1148494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3739BA0-A10C-4147-8841-A2DDE052CF85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Dashbord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765904</xdr:colOff>
      <xdr:row>0</xdr:row>
      <xdr:rowOff>17618</xdr:rowOff>
    </xdr:from>
    <xdr:to>
      <xdr:col>2</xdr:col>
      <xdr:colOff>251620</xdr:colOff>
      <xdr:row>0</xdr:row>
      <xdr:rowOff>450432</xdr:rowOff>
    </xdr:to>
    <xdr:sp macro="[0]!Page.article" textlink="CONFIG!$C$45">
      <xdr:nvSpPr>
        <xdr:cNvPr id="6" name="Pag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523807" y="17618"/>
          <a:ext cx="1155152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6449194-FA7E-49F7-A279-91B55B416FAD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Article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451003</xdr:colOff>
      <xdr:row>0</xdr:row>
      <xdr:rowOff>26427</xdr:rowOff>
    </xdr:from>
    <xdr:to>
      <xdr:col>3</xdr:col>
      <xdr:colOff>146269</xdr:colOff>
      <xdr:row>0</xdr:row>
      <xdr:rowOff>459241</xdr:rowOff>
    </xdr:to>
    <xdr:sp macro="[0]!order" textlink="CONFIG!$C$46">
      <xdr:nvSpPr>
        <xdr:cNvPr id="7" name="Page 3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2878342" y="26427"/>
          <a:ext cx="114962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EFE9B49-4C7B-49AD-8495-8847EC6C2137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Order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365982</xdr:colOff>
      <xdr:row>0</xdr:row>
      <xdr:rowOff>26427</xdr:rowOff>
    </xdr:from>
    <xdr:to>
      <xdr:col>3</xdr:col>
      <xdr:colOff>1518573</xdr:colOff>
      <xdr:row>0</xdr:row>
      <xdr:rowOff>459241</xdr:rowOff>
    </xdr:to>
    <xdr:sp macro="[0]!boncmd" textlink="CONFIG!$C$47">
      <xdr:nvSpPr>
        <xdr:cNvPr id="8" name="Page 4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247676" y="26427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bg1"/>
              </a:solidFill>
            </a:rPr>
            <a:t>BonCmd</a:t>
          </a:r>
        </a:p>
      </xdr:txBody>
    </xdr:sp>
    <xdr:clientData/>
  </xdr:twoCellAnchor>
  <xdr:twoCellAnchor>
    <xdr:from>
      <xdr:col>4</xdr:col>
      <xdr:colOff>49800</xdr:colOff>
      <xdr:row>0</xdr:row>
      <xdr:rowOff>17618</xdr:rowOff>
    </xdr:from>
    <xdr:to>
      <xdr:col>4</xdr:col>
      <xdr:colOff>1202391</xdr:colOff>
      <xdr:row>0</xdr:row>
      <xdr:rowOff>450432</xdr:rowOff>
    </xdr:to>
    <xdr:sp macro="[0]!booking" textlink="CONFIG!$C$48">
      <xdr:nvSpPr>
        <xdr:cNvPr id="9" name="Page 5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5580445" y="17618"/>
          <a:ext cx="1152591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EE3A39-278B-4DBF-970D-4F2A586AD046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Booking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1391608</xdr:colOff>
      <xdr:row>0</xdr:row>
      <xdr:rowOff>17618</xdr:rowOff>
    </xdr:from>
    <xdr:to>
      <xdr:col>5</xdr:col>
      <xdr:colOff>667774</xdr:colOff>
      <xdr:row>0</xdr:row>
      <xdr:rowOff>450432</xdr:rowOff>
    </xdr:to>
    <xdr:sp macro="[0]!fourni" textlink="CONFIG!$C$49">
      <xdr:nvSpPr>
        <xdr:cNvPr id="10" name="Page 6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6922253" y="17618"/>
          <a:ext cx="1150440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5DC2C04-4159-473B-B63B-1D41081E7B00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Fournisseur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115322</xdr:colOff>
      <xdr:row>0</xdr:row>
      <xdr:rowOff>17618</xdr:rowOff>
    </xdr:from>
    <xdr:to>
      <xdr:col>7</xdr:col>
      <xdr:colOff>505913</xdr:colOff>
      <xdr:row>0</xdr:row>
      <xdr:rowOff>450432</xdr:rowOff>
    </xdr:to>
    <xdr:sp macro="[0]!Page.client" textlink="CONFIG!$C$50">
      <xdr:nvSpPr>
        <xdr:cNvPr id="11" name="Page 7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8278145" y="17618"/>
          <a:ext cx="1148494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982378A-FCF4-43CA-BBBE-283AE6979052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Client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542793</xdr:colOff>
      <xdr:row>0</xdr:row>
      <xdr:rowOff>17618</xdr:rowOff>
    </xdr:from>
    <xdr:to>
      <xdr:col>9</xdr:col>
      <xdr:colOff>95184</xdr:colOff>
      <xdr:row>0</xdr:row>
      <xdr:rowOff>450432</xdr:rowOff>
    </xdr:to>
    <xdr:sp macro="[0]!facture" textlink="CONFIG!$C$52">
      <xdr:nvSpPr>
        <xdr:cNvPr id="13" name="Page 9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10979325" y="17618"/>
          <a:ext cx="1150133" cy="43281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33B1910-3002-4E46-A824-9E9D6D51C688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Facture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57150</xdr:colOff>
      <xdr:row>0</xdr:row>
      <xdr:rowOff>0</xdr:rowOff>
    </xdr:from>
    <xdr:to>
      <xdr:col>9</xdr:col>
      <xdr:colOff>1315357</xdr:colOff>
      <xdr:row>0</xdr:row>
      <xdr:rowOff>457200</xdr:rowOff>
    </xdr:to>
    <xdr:sp macro="[0]!secure" textlink="CONFIG!$C$53">
      <xdr:nvSpPr>
        <xdr:cNvPr id="24" name="Page 10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12091424" y="0"/>
          <a:ext cx="1258207" cy="457200"/>
        </a:xfrm>
        <a:prstGeom prst="rect">
          <a:avLst/>
        </a:prstGeom>
        <a:solidFill>
          <a:srgbClr val="47EF3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9339172-9ED3-4265-86A0-B40EB9D8B981}" type="TxLink">
            <a:rPr lang="en-US" sz="14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alibri"/>
              <a:cs typeface="Calibri"/>
            </a:rPr>
            <a:pPr algn="ctr"/>
            <a:t>Securite</a:t>
          </a:fld>
          <a:endParaRPr lang="fr-FR" sz="18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571500</xdr:colOff>
      <xdr:row>0</xdr:row>
      <xdr:rowOff>0</xdr:rowOff>
    </xdr:from>
    <xdr:to>
      <xdr:col>8</xdr:col>
      <xdr:colOff>295383</xdr:colOff>
      <xdr:row>0</xdr:row>
      <xdr:rowOff>441105</xdr:rowOff>
    </xdr:to>
    <xdr:sp macro="[0]!config" textlink="CONFIG!$C$51">
      <xdr:nvSpPr>
        <xdr:cNvPr id="26" name="Page 8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9492226" y="0"/>
          <a:ext cx="1239689" cy="44110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163FA66-187A-4081-A3D5-53EC42902935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Config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1301939</xdr:colOff>
      <xdr:row>0</xdr:row>
      <xdr:rowOff>0</xdr:rowOff>
    </xdr:from>
    <xdr:to>
      <xdr:col>9</xdr:col>
      <xdr:colOff>2560146</xdr:colOff>
      <xdr:row>0</xdr:row>
      <xdr:rowOff>457200</xdr:rowOff>
    </xdr:to>
    <xdr:sp macro="[0]!CMD" textlink="CONFIG!C54">
      <xdr:nvSpPr>
        <xdr:cNvPr id="19" name="Page 10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13336213" y="0"/>
          <a:ext cx="1258207" cy="45720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63DF2A-040C-4ED2-85AC-E0DA5C57E98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alibri"/>
              <a:cs typeface="Calibri"/>
            </a:rPr>
            <a:pPr algn="ctr"/>
            <a:t>Commandes</a:t>
          </a:fld>
          <a:endParaRPr lang="fr-FR" sz="18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39</xdr:row>
          <xdr:rowOff>152400</xdr:rowOff>
        </xdr:from>
        <xdr:to>
          <xdr:col>1</xdr:col>
          <xdr:colOff>838200</xdr:colOff>
          <xdr:row>41</xdr:row>
          <xdr:rowOff>19050</xdr:rowOff>
        </xdr:to>
        <xdr:sp macro="" textlink="">
          <xdr:nvSpPr>
            <xdr:cNvPr id="11275" name="Label4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9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31</xdr:row>
          <xdr:rowOff>123825</xdr:rowOff>
        </xdr:from>
        <xdr:to>
          <xdr:col>1</xdr:col>
          <xdr:colOff>990600</xdr:colOff>
          <xdr:row>37</xdr:row>
          <xdr:rowOff>180975</xdr:rowOff>
        </xdr:to>
        <xdr:sp macro="" textlink="">
          <xdr:nvSpPr>
            <xdr:cNvPr id="11276" name="Image4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9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133350</xdr:rowOff>
    </xdr:from>
    <xdr:to>
      <xdr:col>14</xdr:col>
      <xdr:colOff>366602</xdr:colOff>
      <xdr:row>3</xdr:row>
      <xdr:rowOff>21091</xdr:rowOff>
    </xdr:to>
    <xdr:sp macro="[0]!vide" textlink="">
      <xdr:nvSpPr>
        <xdr:cNvPr id="3" name="Nav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133350"/>
          <a:ext cx="13253927" cy="61164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/>
        </a:p>
      </xdr:txBody>
    </xdr:sp>
    <xdr:clientData/>
  </xdr:twoCellAnchor>
  <xdr:twoCellAnchor>
    <xdr:from>
      <xdr:col>0</xdr:col>
      <xdr:colOff>71157</xdr:colOff>
      <xdr:row>0</xdr:row>
      <xdr:rowOff>145082</xdr:rowOff>
    </xdr:from>
    <xdr:to>
      <xdr:col>1</xdr:col>
      <xdr:colOff>457651</xdr:colOff>
      <xdr:row>2</xdr:row>
      <xdr:rowOff>340526</xdr:rowOff>
    </xdr:to>
    <xdr:sp macro="[0]!home" textlink="CONFIG!$C$44">
      <xdr:nvSpPr>
        <xdr:cNvPr id="4" name="Pag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71157" y="145082"/>
          <a:ext cx="1148494" cy="5764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3739BA0-A10C-4147-8841-A2DDE052CF85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Dashbord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657032</xdr:colOff>
      <xdr:row>0</xdr:row>
      <xdr:rowOff>156815</xdr:rowOff>
    </xdr:from>
    <xdr:to>
      <xdr:col>2</xdr:col>
      <xdr:colOff>650134</xdr:colOff>
      <xdr:row>3</xdr:row>
      <xdr:rowOff>9359</xdr:rowOff>
    </xdr:to>
    <xdr:sp macro="[0]!Page.article" textlink="CONFIG!$C$45">
      <xdr:nvSpPr>
        <xdr:cNvPr id="5" name="Page 2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419032" y="156815"/>
          <a:ext cx="1155152" cy="5764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6449194-FA7E-49F7-A279-91B55B416FAD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Article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849517</xdr:colOff>
      <xdr:row>0</xdr:row>
      <xdr:rowOff>168547</xdr:rowOff>
    </xdr:from>
    <xdr:to>
      <xdr:col>3</xdr:col>
      <xdr:colOff>722788</xdr:colOff>
      <xdr:row>3</xdr:row>
      <xdr:rowOff>21091</xdr:rowOff>
    </xdr:to>
    <xdr:sp macro="[0]!order" textlink="CONFIG!$C$46">
      <xdr:nvSpPr>
        <xdr:cNvPr id="6" name="Page 3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773567" y="168547"/>
          <a:ext cx="1149621" cy="5764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EFE9B49-4C7B-49AD-8495-8847EC6C2137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Order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942501</xdr:colOff>
      <xdr:row>0</xdr:row>
      <xdr:rowOff>168547</xdr:rowOff>
    </xdr:from>
    <xdr:to>
      <xdr:col>4</xdr:col>
      <xdr:colOff>1085442</xdr:colOff>
      <xdr:row>3</xdr:row>
      <xdr:rowOff>21091</xdr:rowOff>
    </xdr:to>
    <xdr:sp macro="[0]!boncmd" textlink="CONFIG!$C$47">
      <xdr:nvSpPr>
        <xdr:cNvPr id="7" name="Page 4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4142901" y="168547"/>
          <a:ext cx="1152591" cy="5764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bg1"/>
              </a:solidFill>
            </a:rPr>
            <a:t>BonCmd</a:t>
          </a:r>
        </a:p>
      </xdr:txBody>
    </xdr:sp>
    <xdr:clientData/>
  </xdr:twoCellAnchor>
  <xdr:twoCellAnchor>
    <xdr:from>
      <xdr:col>5</xdr:col>
      <xdr:colOff>160720</xdr:colOff>
      <xdr:row>0</xdr:row>
      <xdr:rowOff>156815</xdr:rowOff>
    </xdr:from>
    <xdr:to>
      <xdr:col>6</xdr:col>
      <xdr:colOff>313186</xdr:colOff>
      <xdr:row>3</xdr:row>
      <xdr:rowOff>9359</xdr:rowOff>
    </xdr:to>
    <xdr:sp macro="[0]!booking" textlink="CONFIG!$C$48">
      <xdr:nvSpPr>
        <xdr:cNvPr id="8" name="Page 5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475670" y="156815"/>
          <a:ext cx="1152591" cy="5764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EE3A39-278B-4DBF-970D-4F2A586AD046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Booking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502403</xdr:colOff>
      <xdr:row>0</xdr:row>
      <xdr:rowOff>156815</xdr:rowOff>
    </xdr:from>
    <xdr:to>
      <xdr:col>7</xdr:col>
      <xdr:colOff>662243</xdr:colOff>
      <xdr:row>3</xdr:row>
      <xdr:rowOff>9359</xdr:rowOff>
    </xdr:to>
    <xdr:sp macro="[0]!fourni" textlink="CONFIG!$C$49">
      <xdr:nvSpPr>
        <xdr:cNvPr id="9" name="Page 6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6817478" y="156815"/>
          <a:ext cx="1150440" cy="5764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5DC2C04-4159-473B-B63B-1D41081E7B00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Fournisseur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867695</xdr:colOff>
      <xdr:row>0</xdr:row>
      <xdr:rowOff>156815</xdr:rowOff>
    </xdr:from>
    <xdr:to>
      <xdr:col>9</xdr:col>
      <xdr:colOff>244539</xdr:colOff>
      <xdr:row>3</xdr:row>
      <xdr:rowOff>9359</xdr:rowOff>
    </xdr:to>
    <xdr:sp macro="[0]!Page.client" textlink="CONFIG!$C$50">
      <xdr:nvSpPr>
        <xdr:cNvPr id="10" name="Page 7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8173370" y="156815"/>
          <a:ext cx="1148494" cy="5764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982378A-FCF4-43CA-BBBE-283AE6979052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Client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273225</xdr:colOff>
      <xdr:row>0</xdr:row>
      <xdr:rowOff>156815</xdr:rowOff>
    </xdr:from>
    <xdr:to>
      <xdr:col>12</xdr:col>
      <xdr:colOff>661358</xdr:colOff>
      <xdr:row>3</xdr:row>
      <xdr:rowOff>9359</xdr:rowOff>
    </xdr:to>
    <xdr:sp macro="[0]!facture" textlink="CONFIG!$C$52">
      <xdr:nvSpPr>
        <xdr:cNvPr id="11" name="Page 9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10874550" y="156815"/>
          <a:ext cx="1150133" cy="5764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33B1910-3002-4E46-A824-9E9D6D51C688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Facture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623324</xdr:colOff>
      <xdr:row>0</xdr:row>
      <xdr:rowOff>133350</xdr:rowOff>
    </xdr:from>
    <xdr:to>
      <xdr:col>14</xdr:col>
      <xdr:colOff>357531</xdr:colOff>
      <xdr:row>3</xdr:row>
      <xdr:rowOff>18373</xdr:rowOff>
    </xdr:to>
    <xdr:sp macro="[0]!secure" textlink="CONFIG!$C$53">
      <xdr:nvSpPr>
        <xdr:cNvPr id="12" name="Page 10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11986649" y="133350"/>
          <a:ext cx="1258207" cy="608923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9339172-9ED3-4265-86A0-B40EB9D8B981}" type="TxLink">
            <a:rPr lang="en-US" sz="14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alibri"/>
              <a:cs typeface="Calibri"/>
            </a:rPr>
            <a:pPr algn="ctr"/>
            <a:t>Securite</a:t>
          </a:fld>
          <a:endParaRPr lang="fr-FR" sz="18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310126</xdr:colOff>
      <xdr:row>0</xdr:row>
      <xdr:rowOff>133350</xdr:rowOff>
    </xdr:from>
    <xdr:to>
      <xdr:col>11</xdr:col>
      <xdr:colOff>25815</xdr:colOff>
      <xdr:row>2</xdr:row>
      <xdr:rowOff>339837</xdr:rowOff>
    </xdr:to>
    <xdr:sp macro="[0]!config" textlink="CONFIG!$C$51">
      <xdr:nvSpPr>
        <xdr:cNvPr id="13" name="Page 8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9387451" y="133350"/>
          <a:ext cx="1239689" cy="587487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163FA66-187A-4081-A3D5-53EC42902935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Config</a:t>
          </a:fld>
          <a:endParaRPr lang="fr-F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344113</xdr:colOff>
      <xdr:row>0</xdr:row>
      <xdr:rowOff>133350</xdr:rowOff>
    </xdr:from>
    <xdr:to>
      <xdr:col>16</xdr:col>
      <xdr:colOff>78320</xdr:colOff>
      <xdr:row>3</xdr:row>
      <xdr:rowOff>18373</xdr:rowOff>
    </xdr:to>
    <xdr:sp macro="[0]!CMD" textlink="CONFIG!C54">
      <xdr:nvSpPr>
        <xdr:cNvPr id="14" name="Page 10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13231438" y="133350"/>
          <a:ext cx="1258207" cy="608923"/>
        </a:xfrm>
        <a:prstGeom prst="rect">
          <a:avLst/>
        </a:prstGeom>
        <a:solidFill>
          <a:srgbClr val="47EF3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63DF2A-040C-4ED2-85AC-E0DA5C57E982}" type="TxLink">
            <a:rPr lang="en-US" sz="14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alibri"/>
              <a:cs typeface="Calibri"/>
            </a:rPr>
            <a:pPr algn="ctr"/>
            <a:t>Commandes</a:t>
          </a:fld>
          <a:endParaRPr lang="fr-FR" sz="2400" b="1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27439C-3555-4E56-A1F9-AEE88F6010B9}" name="Tableau5" displayName="Tableau5" ref="B4:R33" totalsRowShown="0" headerRowDxfId="119" dataDxfId="118">
  <tableColumns count="17">
    <tableColumn id="1" xr3:uid="{37360B00-933D-49B4-B50D-29994CE3359B}" name="Num Article" dataDxfId="117"/>
    <tableColumn id="2" xr3:uid="{B1CEC014-A552-444A-800B-3B5BBB9226D6}" name="Nom" dataDxfId="116"/>
    <tableColumn id="3" xr3:uid="{238BD5D7-E5F6-4F96-B86B-5308EF2BA848}" name="Categorie" dataDxfId="115"/>
    <tableColumn id="4" xr3:uid="{41B9F821-2E6A-40F7-88C9-5E9C80680431}" name="Prix Unitaire" dataDxfId="114"/>
    <tableColumn id="5" xr3:uid="{F21642FB-8241-40AB-9CF4-CD70F4B87E8A}" name="Quantite" dataDxfId="113">
      <calculatedColumnFormula>SUMIFS(Tableau7[Quantite], Tableau7[Num Article], Tableau5[[#This Row],[Num Article]], Tableau7[Type], "Entree") - SUMIFS(Tableau7[Quantite], Tableau7[Num Article], Tableau5[[#This Row],[Num Article]], Tableau7[Type], "Sortie")</calculatedColumnFormula>
    </tableColumn>
    <tableColumn id="6" xr3:uid="{26A6A709-CC95-448C-B33E-27D119D6B3B8}" name="Valeur Stock" dataDxfId="112">
      <calculatedColumnFormula>Tableau5[[#This Row],[Quantite]]*Tableau5[[#This Row],[Prix Unitaire]]</calculatedColumnFormula>
    </tableColumn>
    <tableColumn id="7" xr3:uid="{6B71E6A8-AFFB-47C6-8567-72E8D3A9B015}" name="Stock Min" dataDxfId="111">
      <calculatedColumnFormula>SUMIFS(Tableau7[Quantite],Tableau7[Num Article],Tableau5[[#This Row],[Num Article]],Tableau7[Code Booking],"Entree")-(SUMIFS(Tableau7[Quantite],Tableau7[Num Article],Tableau5[[#This Row],[Num Article]],Tableau7[Code Booking],"Sortie"))</calculatedColumnFormula>
    </tableColumn>
    <tableColumn id="8" xr3:uid="{9157EA05-E1B4-422E-AFCD-428825CB6758}" name="Flag" dataDxfId="110">
      <calculatedColumnFormula>IF(F5&lt;H5,1,"")</calculatedColumnFormula>
    </tableColumn>
    <tableColumn id="9" xr3:uid="{731330E0-FC4E-4F28-B639-C7221C676086}" name="Status" dataDxfId="109">
      <calculatedColumnFormula>IF(F5&lt;H5,"Inactif","Actif")</calculatedColumnFormula>
    </tableColumn>
    <tableColumn id="10" xr3:uid="{0943358F-162B-4351-B71D-F56DC9CCF18D}" name="5" dataDxfId="108"/>
    <tableColumn id="11" xr3:uid="{12CEE2B2-B9CA-434B-9459-F1B7C2B39A2B}" name="6" dataDxfId="107"/>
    <tableColumn id="16" xr3:uid="{311E3F63-5458-45CE-89EF-F42C34E9E288}" name="7" dataDxfId="106"/>
    <tableColumn id="17" xr3:uid="{8194A1A4-3685-4FC1-8504-402A81A062D2}" name="8" dataDxfId="105"/>
    <tableColumn id="18" xr3:uid="{71606E87-3DFA-4616-82F0-758F286464D6}" name="9" dataDxfId="104"/>
    <tableColumn id="19" xr3:uid="{E36198E3-500B-47D3-AE8A-3FF8560007BB}" name="10" dataDxfId="103"/>
    <tableColumn id="20" xr3:uid="{AADA2135-FA86-415D-8AAE-75BE8C819E0A}" name="11" dataDxfId="102"/>
    <tableColumn id="21" xr3:uid="{04B126FD-9499-4C93-89ED-5632F5ED7848}" name="11 +" dataDxfId="10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D12B0F-AFCA-4E54-B943-3909D2AC9F07}" name="Tableau3" displayName="Tableau3" ref="B5:K60" totalsRowShown="0" headerRowDxfId="99" dataDxfId="98">
  <autoFilter ref="B5:K60" xr:uid="{CEAB9374-2306-455F-A848-79DEA8558A8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205D2078-1D18-48D6-AD01-D96A5AB7E314}" name="Num Commande" dataDxfId="97"/>
    <tableColumn id="2" xr3:uid="{A4829247-6F08-434D-91BB-A41E8CA86CA3}" name="Date" dataDxfId="96"/>
    <tableColumn id="3" xr3:uid="{B9A0F020-B371-45A4-8DD4-8E419F485613}" name="Num Article" dataDxfId="95"/>
    <tableColumn id="4" xr3:uid="{B1EB425E-C376-4FCF-A4CB-3C7D88EA5010}" name="Nom" dataDxfId="94"/>
    <tableColumn id="5" xr3:uid="{01642E0F-ECA6-49BB-9A75-22C4F4B0708E}" name="Quantite" dataDxfId="93"/>
    <tableColumn id="6" xr3:uid="{169628AF-C450-493C-AD13-67AF37E0AD11}" name="Prix" dataDxfId="92"/>
    <tableColumn id="7" xr3:uid="{8F75E724-ABC2-4D6C-B3A9-1B39E85B1BF2}" name="Prix Total" dataDxfId="91">
      <calculatedColumnFormula>F6*G6</calculatedColumnFormula>
    </tableColumn>
    <tableColumn id="8" xr3:uid="{579AC18E-2772-435E-9963-6F6E0703021E}" name="Fournisseur" dataDxfId="90"/>
    <tableColumn id="9" xr3:uid="{DC906D39-DB58-4B30-9ABA-77BA314A4052}" name="Contrôle" dataDxfId="89">
      <calculatedColumnFormula array="1">IFERROR(INDEX(Tableau7[Quantite], MATCH(1, (Tableau7[Num Bon de Commande]=Tableau3[[#This Row],[Num Commande]]) * (Tableau7[Num Article]=Tableau3[[#This Row],[Num Article]]), 0)), "")</calculatedColumnFormula>
    </tableColumn>
    <tableColumn id="10" xr3:uid="{97830920-16C2-4EAB-8EFD-6F9CF3E3FDC7}" name="Check" dataDxfId="88">
      <calculatedColumnFormula>IF(Tableau3[[#This Row],[Contrôle]]=Tableau3[[#This Row],[Quantite]],"Close","Open")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DC292B6-2BA1-45FA-BC39-E99EEAFC7324}" name="Tableau8" displayName="Tableau8" ref="B23:G47" headerRowCount="0" totalsRowShown="0" headerRowDxfId="87" dataDxfId="85" headerRowBorderDxfId="86" tableBorderDxfId="84">
  <tableColumns count="6">
    <tableColumn id="1" xr3:uid="{3367A977-887B-476D-B7E5-9A39B0ACC243}" name="Colonne1" headerRowDxfId="83" dataDxfId="82">
      <calculatedColumnFormula>IF(C24&lt;&gt;"",ROW()-23,"")</calculatedColumnFormula>
    </tableColumn>
    <tableColumn id="2" xr3:uid="{ECE775A0-3314-402E-9743-0965261B1799}" name="Colonne2" headerRowDxfId="81" dataDxfId="80"/>
    <tableColumn id="3" xr3:uid="{DAEF5D76-FD02-4C5B-A730-0E554797B814}" name="Colonne3" headerRowDxfId="79" dataDxfId="78"/>
    <tableColumn id="4" xr3:uid="{B8991630-44E6-433F-85BE-5C3E4A3BD70B}" name="Colonne4" headerRowDxfId="77" dataDxfId="76"/>
    <tableColumn id="5" xr3:uid="{15167904-2215-4674-BE53-D9730A5CEB2E}" name="Colonne5" headerRowDxfId="75" dataDxfId="74" dataCellStyle="Monétaire"/>
    <tableColumn id="6" xr3:uid="{BC7A7EEB-EF13-4974-AEA3-9B6CC5D1EF89}" name="Colonne6" headerRowDxfId="73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DCB74F-0CD6-4998-8267-B42BB939755D}" name="Tableau7" displayName="Tableau7" ref="B5:M103" totalsRowShown="0" headerRowDxfId="72" dataDxfId="71">
  <autoFilter ref="B5:M103" xr:uid="{14F5D460-1EA0-4F27-9C01-7FC2A30C24E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2D36402-5FD6-4E92-AB2D-AD961587316C}" name="Code Booking" dataDxfId="70"/>
    <tableColumn id="2" xr3:uid="{4C3AC364-B6C3-4A06-B375-527D3EC7762F}" name="Num Facture" dataDxfId="69"/>
    <tableColumn id="3" xr3:uid="{5E5A42B8-E3CF-4AB2-BD6F-1416B9A9B692}" name="Num Bon de Commande" dataDxfId="68"/>
    <tableColumn id="4" xr3:uid="{7074D904-F3E8-4470-BE31-30910A0F7BB5}" name="Fournisseur" dataDxfId="67"/>
    <tableColumn id="5" xr3:uid="{B1B8706F-9684-468C-983B-874A237BAD19}" name="Client" dataDxfId="66"/>
    <tableColumn id="6" xr3:uid="{855DF7E0-D605-410D-AB20-813F332D3CBF}" name="Num Article" dataDxfId="65"/>
    <tableColumn id="7" xr3:uid="{9B7DB4C7-826E-4CE8-94E4-76176F1EC0C6}" name="Quantite" dataDxfId="64"/>
    <tableColumn id="8" xr3:uid="{D0E5E9B9-FB11-489A-8FA2-52BC52A29D54}" name="Ranking" dataDxfId="63">
      <calculatedColumnFormula>IF(Tableau7[[#This Row],[Type]]="Sortie",COUNTIFS(Tableau7[Type],"Sortie",Tableau7[Quantite],"&gt;"&amp;Tableau7[[#This Row],[Quantite]])+1,"")</calculatedColumnFormula>
    </tableColumn>
    <tableColumn id="9" xr3:uid="{8F9DB972-604C-4954-8392-59D36B77FBDC}" name="Type" dataDxfId="62"/>
    <tableColumn id="10" xr3:uid="{AD7C76A3-F706-4564-840F-A49C28907E36}" name="Nom Article" dataDxfId="61"/>
    <tableColumn id="11" xr3:uid="{32C066A8-58EF-4037-A3CC-0DD31DF4E7D5}" name="Prix unitaire" dataDxfId="60"/>
    <tableColumn id="12" xr3:uid="{7C0D2A3E-712C-4CD8-A261-148C143189FB}" name="Date" dataDxfId="5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B0288A-7A27-4CC9-B269-F7744E81CD60}" name="Tableau1" displayName="Tableau1" ref="B9:K20" totalsRowShown="0" headerRowDxfId="58" dataDxfId="57">
  <autoFilter ref="B9:K20" xr:uid="{66083D0B-BFE5-46FA-B6BC-F0BE2BABF2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3ADF24E4-0ACA-48D9-A102-E7EC2A530F4E}" name="Nom" dataDxfId="56"/>
    <tableColumn id="2" xr3:uid="{E9CDB38F-D10C-410C-9B8A-4CF21A70EEB3}" name="Nom Entreprise" dataDxfId="55"/>
    <tableColumn id="3" xr3:uid="{333BDB88-F8E6-4294-828F-2C5EDD2F43FA}" name="Adresse" dataDxfId="54"/>
    <tableColumn id="4" xr3:uid="{6FA4A02D-F496-4E46-A848-4269E537E413}" name="Code Postal" dataDxfId="53"/>
    <tableColumn id="5" xr3:uid="{F163F444-2C0D-4F0B-9BD7-368A78511083}" name="Ville" dataDxfId="52"/>
    <tableColumn id="6" xr3:uid="{546CC5AA-1C22-4998-A6D5-F6AAA1B305E0}" name="Pays" dataDxfId="51"/>
    <tableColumn id="7" xr3:uid="{90B0527B-ECE3-4E73-AB64-5E920EC34ADA}" name="Telephone" dataDxfId="50"/>
    <tableColumn id="8" xr3:uid="{1DBEA6C8-993F-42E7-AF9E-8687D96F73F0}" name="Mail" dataDxfId="49" dataCellStyle="Lien hypertexte"/>
    <tableColumn id="9" xr3:uid="{42291A6C-CB9D-4673-BB1D-1A226D1EE8C8}" name="Group" dataDxfId="48">
      <calculatedColumnFormula>CONCATENATE(LEFT(G10,3),"-",E10,",",F10)</calculatedColumnFormula>
    </tableColumn>
    <tableColumn id="10" xr3:uid="{F0F0A9FC-B44B-4DE3-A340-D0CC161E11AD}" name="ID" dataDxfId="47">
      <calculatedColumnFormula>CONCATENATE("FOUR", "-", "TR", "-", TEXT(ROW(),"00"))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3E353D-92FA-4035-B527-F9A06DD4AD81}" name="Tableau13" displayName="Tableau13" ref="B9:J36" totalsRowShown="0" headerRowDxfId="46" dataDxfId="45">
  <autoFilter ref="B9:J36" xr:uid="{B6F73EC3-C372-4AAE-AD59-3ECF8E8D85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4527D27-F46C-49E4-A3DC-08183A285CC7}" name="Nom" dataDxfId="44"/>
    <tableColumn id="3" xr3:uid="{2F152F78-6E94-452D-8EAE-148C37FBDB22}" name="Adresse" dataDxfId="43"/>
    <tableColumn id="4" xr3:uid="{D5B5E5BE-B1F2-4CED-98C7-2C59864445EF}" name="Code Postal" dataDxfId="42"/>
    <tableColumn id="5" xr3:uid="{47D45DED-0869-4CBA-A563-C0C61376DB90}" name="Ville" dataDxfId="41"/>
    <tableColumn id="6" xr3:uid="{0A9FB354-84D6-4E93-9FAD-971DF9E6E70A}" name="Pays" dataDxfId="40"/>
    <tableColumn id="7" xr3:uid="{92D3541E-4257-42EC-BBB9-DD799CA118B2}" name="Telephone" dataDxfId="39"/>
    <tableColumn id="8" xr3:uid="{2C90DAB3-070A-465E-9B32-5CF88288E8C6}" name="Mail" dataDxfId="38" dataCellStyle="Lien hypertexte"/>
    <tableColumn id="9" xr3:uid="{3E17CB02-FADD-4BAD-96A0-268E2FBFD4CA}" name="Group" dataDxfId="37">
      <calculatedColumnFormula>CONCATENATE(LEFT(F10,3),"-",D10,",",E10)</calculatedColumnFormula>
    </tableColumn>
    <tableColumn id="10" xr3:uid="{E147AE59-3593-430E-89C7-489EBEA4F785}" name="ID" dataDxfId="36">
      <calculatedColumnFormula>CONCATENATE("CLI", "-", "TR", "-", TEXT(ROW(),"00"))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41E9DE4-8978-4E43-ACC9-05F7BC733910}" name="Tableau6" displayName="Tableau6" ref="G47:H55" headerRowCount="0" totalsRowShown="0" tableBorderDxfId="35">
  <tableColumns count="2">
    <tableColumn id="1" xr3:uid="{D73744FD-A5C0-4761-A382-C65A6A11EDDC}" name="Colonne1" headerRowDxfId="34" dataDxfId="33"/>
    <tableColumn id="2" xr3:uid="{81C0952E-CE41-4F6B-B724-0F658B271179}" name="Colonne2" headerRowDxfId="32" dataDxfId="31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6C11A3-EF29-4280-B730-5107A0947179}" name="Tableau4" displayName="Tableau4" ref="B22:F47" headerRowCount="0" totalsRowShown="0" headerRowDxfId="30" dataDxfId="29">
  <tableColumns count="5">
    <tableColumn id="1" xr3:uid="{BE09AA38-E3AD-4A11-A1CD-A7D95916E67A}" name="Colonne1" dataDxfId="28">
      <calculatedColumnFormula>IF(C22&lt;&gt;"",ROW()-21,"")</calculatedColumnFormula>
    </tableColumn>
    <tableColumn id="2" xr3:uid="{5A63DCCB-6EA9-403C-9C6C-F61E5D06F3C8}" name="Colonne2" dataDxfId="27">
      <calculatedColumnFormula array="1">IFERROR(INDEX(Tableau11[Nom Article],SMALL(IF(Tableau11[Numero Facture]=FACTURE!$E$11,ROW(Tableau11[Nom Article])-5),ROW()-21)),"")</calculatedColumnFormula>
    </tableColumn>
    <tableColumn id="3" xr3:uid="{E778A6D5-4584-421B-822D-763497A02731}" name="Colonne3" dataDxfId="26">
      <calculatedColumnFormula array="1">IFERROR(INDEX(Tableau11[Quantite],SMALL(IF(Tableau11[Numero Facture]=FACTURE!$E$11,ROW(Tableau11[Quantite])-5),ROW()-21)),"")</calculatedColumnFormula>
    </tableColumn>
    <tableColumn id="4" xr3:uid="{5A64759B-6F62-4BCB-86AD-1BC52BE2E0FC}" name="Colonne4" dataDxfId="25">
      <calculatedColumnFormula array="1">IFERROR(INDEX(Tableau11[Prix Unitaire],SMALL(IF(Tableau11[Numero Facture]=FACTURE!$E$11,ROW(Tableau11[Prix Unitaire])-5),ROW()-21)),"")</calculatedColumnFormula>
    </tableColumn>
    <tableColumn id="5" xr3:uid="{2BDF709D-974A-4430-8AC3-6A9F7D492CF1}" name="Colonne5" dataDxfId="24">
      <calculatedColumnFormula>IFERROR(D22*E22, "")</calculatedColumnFormula>
    </tableColumn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67C8614-6652-48F9-B919-A99820F6E3A8}" name="Tableau9" displayName="Tableau9" ref="C5:E14" headerRowCount="0" totalsRowShown="0" headerRowDxfId="23" dataDxfId="22">
  <tableColumns count="3">
    <tableColumn id="1" xr3:uid="{03653B5D-4D2D-461D-8DAA-DC94234801F7}" name="Colonne1" dataDxfId="21"/>
    <tableColumn id="2" xr3:uid="{3366356F-B3DC-4CDD-9578-CBF1FB5242AC}" name="Colonne2" dataDxfId="20"/>
    <tableColumn id="3" xr3:uid="{2CE0AF00-B718-47B1-9640-3C947924C6B3}" name="Colonne3" headerRowDxfId="19" dataDxfId="18"/>
  </tableColumns>
  <tableStyleInfo name="TableStyleDark1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BFE9F5-7919-467F-BFE9-D0DE6E24ABE0}" name="Tableau10" displayName="Tableau10" ref="H5:J10" headerRowCount="0" totalsRowShown="0" headerRowDxfId="17" dataDxfId="16" tableBorderDxfId="15">
  <tableColumns count="3">
    <tableColumn id="1" xr3:uid="{EF51DD56-E291-481F-A62C-C2AE283CA1EE}" name="Colonne1" dataDxfId="14"/>
    <tableColumn id="2" xr3:uid="{65B52739-DCA3-4C09-94FE-D6E701DB8FA4}" name="Colonne2" dataDxfId="13"/>
    <tableColumn id="3" xr3:uid="{2B557A11-BE95-4C47-A09C-1AD0E970AF66}" name="Colonne3" headerRowDxfId="12" dataDxfId="11"/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4B02231-62FC-4C32-B7EB-50275F71ED9E}" name="Tableau11" displayName="Tableau11" ref="B5:I37" totalsRowShown="0" headerRowDxfId="9" dataDxfId="8">
  <tableColumns count="8">
    <tableColumn id="1" xr3:uid="{C254CEFC-CB46-4F1A-B7B8-B65AA00D3D85}" name="Numero Facture" dataDxfId="7"/>
    <tableColumn id="2" xr3:uid="{9CBFE93B-B266-4E9A-B366-BC6E66711E19}" name="Client" dataDxfId="6"/>
    <tableColumn id="3" xr3:uid="{A460947E-8478-444B-926E-9F997E532036}" name="Num Article" dataDxfId="5"/>
    <tableColumn id="4" xr3:uid="{A08BF5A9-DCD2-43EB-B58A-99E6FB78906C}" name="Prix Unitaire" dataDxfId="4"/>
    <tableColumn id="5" xr3:uid="{5A8CE919-83B6-4C00-AFCF-7DF789563A0E}" name="Quantite" dataDxfId="3"/>
    <tableColumn id="6" xr3:uid="{0E3B6077-23F0-4CD8-B4D9-031DEAB3B5EB}" name="Prix Total" dataDxfId="2"/>
    <tableColumn id="7" xr3:uid="{65DEE74B-C775-493F-93FD-CD237CBA82E3}" name="Nom Article" dataDxfId="1"/>
    <tableColumn id="8" xr3:uid="{B06AB1A1-7D10-4DEF-8135-213E9B5EBA5E}" name="Statut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8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giffarenocorps05@gmail.com" TargetMode="Externa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image" Target="../media/image10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6.xml"/><Relationship Id="rId3" Type="http://schemas.openxmlformats.org/officeDocument/2006/relationships/hyperlink" Target="mailto:kermmaddog90@gmail.com%201" TargetMode="External"/><Relationship Id="rId7" Type="http://schemas.openxmlformats.org/officeDocument/2006/relationships/printerSettings" Target="../printerSettings/printerSettings6.bin"/><Relationship Id="rId12" Type="http://schemas.openxmlformats.org/officeDocument/2006/relationships/table" Target="../tables/table5.xml"/><Relationship Id="rId2" Type="http://schemas.openxmlformats.org/officeDocument/2006/relationships/hyperlink" Target="mailto:kermmaddog90@gmail.com%201" TargetMode="External"/><Relationship Id="rId1" Type="http://schemas.openxmlformats.org/officeDocument/2006/relationships/hyperlink" Target="mailto:kermmaddog90@gmail.com%201" TargetMode="External"/><Relationship Id="rId6" Type="http://schemas.openxmlformats.org/officeDocument/2006/relationships/hyperlink" Target="mailto:kermmaddog90@gmail.com%201" TargetMode="External"/><Relationship Id="rId11" Type="http://schemas.openxmlformats.org/officeDocument/2006/relationships/image" Target="../media/image11.emf"/><Relationship Id="rId5" Type="http://schemas.openxmlformats.org/officeDocument/2006/relationships/hyperlink" Target="mailto:kermmaddog90@gmail.com%201" TargetMode="External"/><Relationship Id="rId10" Type="http://schemas.openxmlformats.org/officeDocument/2006/relationships/control" Target="../activeX/activeX4.xml"/><Relationship Id="rId4" Type="http://schemas.openxmlformats.org/officeDocument/2006/relationships/hyperlink" Target="mailto:kermmaddog90@gmail.com%201" TargetMode="External"/><Relationship Id="rId9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atanganajules90@gmail.com%201" TargetMode="External"/><Relationship Id="rId13" Type="http://schemas.openxmlformats.org/officeDocument/2006/relationships/hyperlink" Target="mailto:atanganajules90@gmail.com%201" TargetMode="External"/><Relationship Id="rId18" Type="http://schemas.openxmlformats.org/officeDocument/2006/relationships/drawing" Target="../drawings/drawing7.xml"/><Relationship Id="rId3" Type="http://schemas.openxmlformats.org/officeDocument/2006/relationships/hyperlink" Target="mailto:atanganajules90@gmail.com%201" TargetMode="External"/><Relationship Id="rId21" Type="http://schemas.openxmlformats.org/officeDocument/2006/relationships/image" Target="../media/image12.emf"/><Relationship Id="rId7" Type="http://schemas.openxmlformats.org/officeDocument/2006/relationships/hyperlink" Target="mailto:atanganajules90@gmail.com%201" TargetMode="External"/><Relationship Id="rId12" Type="http://schemas.openxmlformats.org/officeDocument/2006/relationships/hyperlink" Target="mailto:atanganajules90@gmail.com%201" TargetMode="External"/><Relationship Id="rId17" Type="http://schemas.openxmlformats.org/officeDocument/2006/relationships/printerSettings" Target="../printerSettings/printerSettings7.bin"/><Relationship Id="rId2" Type="http://schemas.openxmlformats.org/officeDocument/2006/relationships/hyperlink" Target="mailto:atanganajules90@gmail.com%201" TargetMode="External"/><Relationship Id="rId16" Type="http://schemas.openxmlformats.org/officeDocument/2006/relationships/hyperlink" Target="mailto:atanganajules90@gmail.com%201" TargetMode="External"/><Relationship Id="rId20" Type="http://schemas.openxmlformats.org/officeDocument/2006/relationships/control" Target="../activeX/activeX5.xml"/><Relationship Id="rId1" Type="http://schemas.openxmlformats.org/officeDocument/2006/relationships/hyperlink" Target="mailto:atanganajules90@gmail.com%201" TargetMode="External"/><Relationship Id="rId6" Type="http://schemas.openxmlformats.org/officeDocument/2006/relationships/hyperlink" Target="mailto:atanganajules90@gmail.com%201" TargetMode="External"/><Relationship Id="rId11" Type="http://schemas.openxmlformats.org/officeDocument/2006/relationships/hyperlink" Target="mailto:atanganajules90@gmail.com%201" TargetMode="External"/><Relationship Id="rId5" Type="http://schemas.openxmlformats.org/officeDocument/2006/relationships/hyperlink" Target="mailto:atanganajules90@gmail.com%201" TargetMode="External"/><Relationship Id="rId15" Type="http://schemas.openxmlformats.org/officeDocument/2006/relationships/hyperlink" Target="mailto:atanganajules90@gmail.com%201" TargetMode="External"/><Relationship Id="rId10" Type="http://schemas.openxmlformats.org/officeDocument/2006/relationships/hyperlink" Target="mailto:atanganajules90@gmail.com%201" TargetMode="External"/><Relationship Id="rId19" Type="http://schemas.openxmlformats.org/officeDocument/2006/relationships/vmlDrawing" Target="../drawings/vmlDrawing5.vml"/><Relationship Id="rId4" Type="http://schemas.openxmlformats.org/officeDocument/2006/relationships/hyperlink" Target="mailto:atanganajules90@gmail.com%201" TargetMode="External"/><Relationship Id="rId9" Type="http://schemas.openxmlformats.org/officeDocument/2006/relationships/hyperlink" Target="mailto:atanganajules90@gmail.com%201" TargetMode="External"/><Relationship Id="rId14" Type="http://schemas.openxmlformats.org/officeDocument/2006/relationships/hyperlink" Target="mailto:atanganajules90@gmail.com%201" TargetMode="External"/><Relationship Id="rId22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linuxcam05@gmail.com" TargetMode="External"/><Relationship Id="rId4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1.xml"/><Relationship Id="rId18" Type="http://schemas.openxmlformats.org/officeDocument/2006/relationships/image" Target="../media/image20.emf"/><Relationship Id="rId3" Type="http://schemas.openxmlformats.org/officeDocument/2006/relationships/control" Target="../activeX/activeX6.xml"/><Relationship Id="rId7" Type="http://schemas.openxmlformats.org/officeDocument/2006/relationships/control" Target="../activeX/activeX8.xml"/><Relationship Id="rId12" Type="http://schemas.openxmlformats.org/officeDocument/2006/relationships/image" Target="../media/image17.emf"/><Relationship Id="rId17" Type="http://schemas.openxmlformats.org/officeDocument/2006/relationships/control" Target="../activeX/activeX13.xml"/><Relationship Id="rId2" Type="http://schemas.openxmlformats.org/officeDocument/2006/relationships/vmlDrawing" Target="../drawings/vmlDrawing6.vml"/><Relationship Id="rId16" Type="http://schemas.openxmlformats.org/officeDocument/2006/relationships/image" Target="../media/image19.emf"/><Relationship Id="rId20" Type="http://schemas.openxmlformats.org/officeDocument/2006/relationships/table" Target="../tables/table10.xml"/><Relationship Id="rId1" Type="http://schemas.openxmlformats.org/officeDocument/2006/relationships/drawing" Target="../drawings/drawing10.xml"/><Relationship Id="rId6" Type="http://schemas.openxmlformats.org/officeDocument/2006/relationships/image" Target="../media/image14.emf"/><Relationship Id="rId11" Type="http://schemas.openxmlformats.org/officeDocument/2006/relationships/control" Target="../activeX/activeX10.xml"/><Relationship Id="rId5" Type="http://schemas.openxmlformats.org/officeDocument/2006/relationships/control" Target="../activeX/activeX7.xml"/><Relationship Id="rId15" Type="http://schemas.openxmlformats.org/officeDocument/2006/relationships/control" Target="../activeX/activeX12.xml"/><Relationship Id="rId10" Type="http://schemas.openxmlformats.org/officeDocument/2006/relationships/image" Target="../media/image16.emf"/><Relationship Id="rId19" Type="http://schemas.openxmlformats.org/officeDocument/2006/relationships/table" Target="../tables/table9.xml"/><Relationship Id="rId4" Type="http://schemas.openxmlformats.org/officeDocument/2006/relationships/image" Target="../media/image13.emf"/><Relationship Id="rId9" Type="http://schemas.openxmlformats.org/officeDocument/2006/relationships/control" Target="../activeX/activeX9.xml"/><Relationship Id="rId14" Type="http://schemas.openxmlformats.org/officeDocument/2006/relationships/image" Target="../media/image1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0C076-519D-4874-904C-6F2C5DE418FA}">
  <sheetPr codeName="Feuil1"/>
  <dimension ref="H1:J37"/>
  <sheetViews>
    <sheetView showGridLines="0" topLeftCell="I1" zoomScale="148" workbookViewId="0">
      <selection activeCell="I29" sqref="I29"/>
    </sheetView>
  </sheetViews>
  <sheetFormatPr baseColWidth="10" defaultColWidth="11.42578125" defaultRowHeight="15" x14ac:dyDescent="0.25"/>
  <cols>
    <col min="1" max="1" width="2" style="38" customWidth="1"/>
    <col min="2" max="2" width="16.42578125" style="38" customWidth="1"/>
    <col min="3" max="6" width="11.42578125" style="38"/>
    <col min="7" max="7" width="16.42578125" style="38" customWidth="1"/>
    <col min="8" max="8" width="8.28515625" style="38" customWidth="1"/>
    <col min="9" max="9" width="89.5703125" style="38" customWidth="1"/>
    <col min="10" max="10" width="25" style="38" customWidth="1"/>
    <col min="11" max="16384" width="11.42578125" style="38"/>
  </cols>
  <sheetData>
    <row r="1" spans="8:10" ht="32.25" customHeight="1" x14ac:dyDescent="0.6">
      <c r="H1" s="39"/>
    </row>
    <row r="2" spans="8:10" ht="27.75" customHeight="1" x14ac:dyDescent="0.25">
      <c r="J2" s="58"/>
    </row>
    <row r="3" spans="8:10" ht="34.5" customHeight="1" x14ac:dyDescent="0.25">
      <c r="J3" s="58"/>
    </row>
    <row r="4" spans="8:10" ht="54" customHeight="1" x14ac:dyDescent="0.25"/>
    <row r="33" spans="9:9" ht="44.25" x14ac:dyDescent="0.55000000000000004">
      <c r="I33" s="41" t="s">
        <v>273</v>
      </c>
    </row>
    <row r="37" spans="9:9" ht="46.5" x14ac:dyDescent="0.7">
      <c r="I37" s="42">
        <f>CONFIG!K33</f>
        <v>403100800</v>
      </c>
    </row>
  </sheetData>
  <conditionalFormatting sqref="I37">
    <cfRule type="expression" dxfId="136" priority="1">
      <formula>$I$37&lt;0</formula>
    </cfRule>
    <cfRule type="expression" dxfId="135" priority="2">
      <formula>$I$37&gt;0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6236E-4DED-4766-AED9-F4119766F19E}">
  <sheetPr codeName="Feuil2"/>
  <dimension ref="B1:R33"/>
  <sheetViews>
    <sheetView showGridLines="0" zoomScale="121" zoomScaleNormal="65" workbookViewId="0">
      <selection activeCell="G13" sqref="G12:G13"/>
    </sheetView>
  </sheetViews>
  <sheetFormatPr baseColWidth="10" defaultColWidth="11.42578125" defaultRowHeight="15" x14ac:dyDescent="0.25"/>
  <cols>
    <col min="1" max="1" width="3.28515625" style="38" customWidth="1"/>
    <col min="2" max="2" width="17.5703125" style="38" customWidth="1"/>
    <col min="3" max="3" width="27.28515625" style="38" customWidth="1"/>
    <col min="4" max="4" width="39.140625" style="38" customWidth="1"/>
    <col min="5" max="5" width="25" style="38" customWidth="1"/>
    <col min="6" max="6" width="17" style="38" customWidth="1"/>
    <col min="7" max="7" width="30.5703125" style="38" customWidth="1"/>
    <col min="8" max="8" width="15.5703125" style="38" customWidth="1"/>
    <col min="9" max="9" width="55.140625" style="38" customWidth="1"/>
    <col min="10" max="10" width="11.42578125" style="38"/>
    <col min="11" max="12" width="11.42578125" style="38" customWidth="1"/>
    <col min="13" max="16384" width="11.42578125" style="38"/>
  </cols>
  <sheetData>
    <row r="1" spans="2:18" ht="42.75" customHeight="1" x14ac:dyDescent="0.25"/>
    <row r="2" spans="2:18" ht="33" customHeight="1" x14ac:dyDescent="0.6">
      <c r="D2" s="39"/>
      <c r="H2" s="51"/>
      <c r="I2" s="51"/>
    </row>
    <row r="3" spans="2:18" ht="56.25" customHeight="1" x14ac:dyDescent="0.25"/>
    <row r="4" spans="2:18" x14ac:dyDescent="0.25">
      <c r="B4" s="52" t="s">
        <v>155</v>
      </c>
      <c r="C4" s="52" t="s">
        <v>0</v>
      </c>
      <c r="D4" s="52" t="s">
        <v>324</v>
      </c>
      <c r="E4" s="52" t="s">
        <v>9</v>
      </c>
      <c r="F4" s="52" t="s">
        <v>93</v>
      </c>
      <c r="G4" s="52" t="s">
        <v>10</v>
      </c>
      <c r="H4" s="52" t="s">
        <v>11</v>
      </c>
      <c r="I4" s="52" t="s">
        <v>12</v>
      </c>
      <c r="J4" s="52" t="s">
        <v>21</v>
      </c>
      <c r="K4" s="52" t="s">
        <v>419</v>
      </c>
      <c r="L4" s="52" t="s">
        <v>418</v>
      </c>
      <c r="M4" s="52" t="s">
        <v>13</v>
      </c>
      <c r="N4" s="52" t="s">
        <v>14</v>
      </c>
      <c r="O4" s="52" t="s">
        <v>15</v>
      </c>
      <c r="P4" s="52" t="s">
        <v>16</v>
      </c>
      <c r="Q4" s="52" t="s">
        <v>17</v>
      </c>
      <c r="R4" s="52" t="s">
        <v>91</v>
      </c>
    </row>
    <row r="5" spans="2:18" x14ac:dyDescent="0.25">
      <c r="B5" s="51" t="s">
        <v>22</v>
      </c>
      <c r="C5" s="51" t="s">
        <v>23</v>
      </c>
      <c r="D5" s="51" t="s">
        <v>325</v>
      </c>
      <c r="E5" s="53">
        <v>1000</v>
      </c>
      <c r="F5" s="51">
        <f>SUMIFS(Tableau7[Quantite], Tableau7[Num Article], Tableau5[[#This Row],[Num Article]], Tableau7[Type], "Entree") - SUMIFS(Tableau7[Quantite], Tableau7[Num Article], Tableau5[[#This Row],[Num Article]], Tableau7[Type], "Sortie")</f>
        <v>314</v>
      </c>
      <c r="G5" s="53">
        <f>Tableau5[[#This Row],[Quantite]]*Tableau5[[#This Row],[Prix Unitaire]]</f>
        <v>314000</v>
      </c>
      <c r="H5" s="51">
        <v>10</v>
      </c>
      <c r="I5" s="54" t="str">
        <f t="shared" ref="I5:I9" si="0">IF(F5&lt;H5,1,"")</f>
        <v/>
      </c>
      <c r="J5" s="55" t="str">
        <f>IF(F5&lt;H5,"Inactif","Actif")</f>
        <v>Actif</v>
      </c>
      <c r="K5" s="51"/>
      <c r="L5" s="51"/>
      <c r="M5" s="51"/>
      <c r="N5" s="51"/>
      <c r="O5" s="51"/>
      <c r="P5" s="51"/>
      <c r="Q5" s="51"/>
      <c r="R5" s="51"/>
    </row>
    <row r="6" spans="2:18" x14ac:dyDescent="0.25">
      <c r="B6" s="51" t="s">
        <v>28</v>
      </c>
      <c r="C6" s="51" t="s">
        <v>29</v>
      </c>
      <c r="D6" s="51" t="s">
        <v>326</v>
      </c>
      <c r="E6" s="53">
        <v>600</v>
      </c>
      <c r="F6" s="51">
        <f>SUMIFS(Tableau7[Quantite], Tableau7[Num Article], Tableau5[[#This Row],[Num Article]], Tableau7[Type], "Entree") - SUMIFS(Tableau7[Quantite], Tableau7[Num Article], Tableau5[[#This Row],[Num Article]], Tableau7[Type], "Sortie")</f>
        <v>421</v>
      </c>
      <c r="G6" s="53">
        <f>Tableau5[[#This Row],[Quantite]]*Tableau5[[#This Row],[Prix Unitaire]]</f>
        <v>252600</v>
      </c>
      <c r="H6" s="51">
        <v>10</v>
      </c>
      <c r="I6" s="54" t="str">
        <f t="shared" si="0"/>
        <v/>
      </c>
      <c r="J6" s="55" t="str">
        <f t="shared" ref="J6:J9" si="1">IF(F6&lt;H6,"Inactif","Actif")</f>
        <v>Actif</v>
      </c>
      <c r="K6" s="51"/>
      <c r="L6" s="51"/>
      <c r="M6" s="51"/>
      <c r="N6" s="51"/>
      <c r="O6" s="51"/>
      <c r="P6" s="51"/>
      <c r="Q6" s="51"/>
      <c r="R6" s="51"/>
    </row>
    <row r="7" spans="2:18" x14ac:dyDescent="0.25">
      <c r="B7" s="51" t="s">
        <v>140</v>
      </c>
      <c r="C7" s="51" t="s">
        <v>141</v>
      </c>
      <c r="D7" s="51" t="s">
        <v>384</v>
      </c>
      <c r="E7" s="53">
        <v>700</v>
      </c>
      <c r="F7" s="51">
        <f>SUMIFS(Tableau7[Quantite], Tableau7[Num Article], Tableau5[[#This Row],[Num Article]], Tableau7[Type], "Entree") - SUMIFS(Tableau7[Quantite], Tableau7[Num Article], Tableau5[[#This Row],[Num Article]], Tableau7[Type], "Sortie")</f>
        <v>400</v>
      </c>
      <c r="G7" s="53">
        <f>Tableau5[[#This Row],[Quantite]]*Tableau5[[#This Row],[Prix Unitaire]]</f>
        <v>280000</v>
      </c>
      <c r="H7" s="51">
        <v>10</v>
      </c>
      <c r="I7" s="54" t="str">
        <f t="shared" si="0"/>
        <v/>
      </c>
      <c r="J7" s="55" t="str">
        <f t="shared" si="1"/>
        <v>Actif</v>
      </c>
      <c r="K7" s="51"/>
      <c r="L7" s="51"/>
      <c r="M7" s="51"/>
      <c r="N7" s="51"/>
      <c r="O7" s="51"/>
      <c r="P7" s="51"/>
      <c r="Q7" s="51"/>
      <c r="R7" s="51"/>
    </row>
    <row r="8" spans="2:18" x14ac:dyDescent="0.25">
      <c r="B8" s="51" t="s">
        <v>144</v>
      </c>
      <c r="C8" s="51" t="s">
        <v>145</v>
      </c>
      <c r="D8" s="51" t="s">
        <v>325</v>
      </c>
      <c r="E8" s="53">
        <v>25</v>
      </c>
      <c r="F8" s="51">
        <f>SUMIFS(Tableau7[Quantite], Tableau7[Num Article], Tableau5[[#This Row],[Num Article]], Tableau7[Type], "Entree") - SUMIFS(Tableau7[Quantite], Tableau7[Num Article], Tableau5[[#This Row],[Num Article]], Tableau7[Type], "Sortie")</f>
        <v>266</v>
      </c>
      <c r="G8" s="53">
        <f>Tableau5[[#This Row],[Quantite]]*Tableau5[[#This Row],[Prix Unitaire]]</f>
        <v>6650</v>
      </c>
      <c r="H8" s="51">
        <v>10</v>
      </c>
      <c r="I8" s="54" t="str">
        <f t="shared" si="0"/>
        <v/>
      </c>
      <c r="J8" s="55" t="str">
        <f t="shared" si="1"/>
        <v>Actif</v>
      </c>
      <c r="K8" s="51"/>
      <c r="L8" s="51"/>
      <c r="M8" s="51"/>
      <c r="N8" s="51"/>
      <c r="O8" s="51"/>
      <c r="P8" s="51"/>
      <c r="Q8" s="51"/>
      <c r="R8" s="51"/>
    </row>
    <row r="9" spans="2:18" x14ac:dyDescent="0.25">
      <c r="B9" s="51" t="s">
        <v>166</v>
      </c>
      <c r="C9" s="51" t="s">
        <v>167</v>
      </c>
      <c r="D9" s="51" t="s">
        <v>326</v>
      </c>
      <c r="E9" s="53">
        <v>700</v>
      </c>
      <c r="F9" s="51">
        <f>SUMIFS(Tableau7[Quantite], Tableau7[Num Article], Tableau5[[#This Row],[Num Article]], Tableau7[Type], "Entree") - SUMIFS(Tableau7[Quantite], Tableau7[Num Article], Tableau5[[#This Row],[Num Article]], Tableau7[Type], "Sortie")</f>
        <v>449</v>
      </c>
      <c r="G9" s="53">
        <f>Tableau5[[#This Row],[Quantite]]*Tableau5[[#This Row],[Prix Unitaire]]</f>
        <v>314300</v>
      </c>
      <c r="H9" s="51">
        <v>10</v>
      </c>
      <c r="I9" s="54" t="str">
        <f t="shared" si="0"/>
        <v/>
      </c>
      <c r="J9" s="55" t="str">
        <f t="shared" si="1"/>
        <v>Actif</v>
      </c>
      <c r="K9" s="51"/>
      <c r="L9" s="51"/>
      <c r="M9" s="51"/>
      <c r="N9" s="51"/>
      <c r="O9" s="51"/>
      <c r="P9" s="51"/>
      <c r="Q9" s="51"/>
      <c r="R9" s="51"/>
    </row>
    <row r="10" spans="2:18" x14ac:dyDescent="0.25">
      <c r="B10" s="51" t="s">
        <v>276</v>
      </c>
      <c r="C10" s="51" t="s">
        <v>277</v>
      </c>
      <c r="D10" s="51" t="s">
        <v>327</v>
      </c>
      <c r="E10" s="53">
        <v>500000</v>
      </c>
      <c r="F10" s="51">
        <f>SUMIFS(Tableau7[Quantite], Tableau7[Num Article], Tableau5[[#This Row],[Num Article]], Tableau7[Type], "Entree") - SUMIFS(Tableau7[Quantite], Tableau7[Num Article], Tableau5[[#This Row],[Num Article]], Tableau7[Type], "Sortie")</f>
        <v>433</v>
      </c>
      <c r="G10" s="53">
        <f>Tableau5[[#This Row],[Quantite]]*Tableau5[[#This Row],[Prix Unitaire]]</f>
        <v>216500000</v>
      </c>
      <c r="H10" s="56">
        <v>10</v>
      </c>
      <c r="I10" s="54" t="str">
        <f t="shared" ref="I10:I15" si="2">IF(F10&lt;H10,1,"")</f>
        <v/>
      </c>
      <c r="J10" s="57" t="s">
        <v>275</v>
      </c>
      <c r="K10" s="51"/>
      <c r="L10" s="51"/>
      <c r="M10" s="51"/>
      <c r="N10" s="51"/>
      <c r="O10" s="51"/>
      <c r="P10" s="51"/>
      <c r="Q10" s="51"/>
      <c r="R10" s="51"/>
    </row>
    <row r="11" spans="2:18" x14ac:dyDescent="0.25">
      <c r="B11" s="51" t="s">
        <v>278</v>
      </c>
      <c r="C11" s="51" t="s">
        <v>279</v>
      </c>
      <c r="D11" s="51" t="s">
        <v>327</v>
      </c>
      <c r="E11" s="53">
        <v>450000</v>
      </c>
      <c r="F11" s="51">
        <f>SUMIFS(Tableau7[Quantite], Tableau7[Num Article], Tableau5[[#This Row],[Num Article]], Tableau7[Type], "Entree") - SUMIFS(Tableau7[Quantite], Tableau7[Num Article], Tableau5[[#This Row],[Num Article]], Tableau7[Type], "Sortie")</f>
        <v>198</v>
      </c>
      <c r="G11" s="53">
        <f>Tableau5[[#This Row],[Quantite]]*Tableau5[[#This Row],[Prix Unitaire]]</f>
        <v>89100000</v>
      </c>
      <c r="H11" s="56">
        <v>10</v>
      </c>
      <c r="I11" s="54" t="str">
        <f t="shared" si="2"/>
        <v/>
      </c>
      <c r="J11" s="57" t="s">
        <v>275</v>
      </c>
      <c r="K11" s="51"/>
      <c r="L11" s="51"/>
      <c r="M11" s="51"/>
      <c r="N11" s="51"/>
      <c r="O11" s="51"/>
      <c r="P11" s="51"/>
      <c r="Q11" s="51"/>
      <c r="R11" s="51"/>
    </row>
    <row r="12" spans="2:18" x14ac:dyDescent="0.25">
      <c r="B12" s="51" t="s">
        <v>280</v>
      </c>
      <c r="C12" s="51" t="s">
        <v>281</v>
      </c>
      <c r="D12" s="51" t="s">
        <v>326</v>
      </c>
      <c r="E12" s="53">
        <v>150000</v>
      </c>
      <c r="F12" s="51">
        <f>SUMIFS(Tableau7[Quantite], Tableau7[Num Article], Tableau5[[#This Row],[Num Article]], Tableau7[Type], "Entree") - SUMIFS(Tableau7[Quantite], Tableau7[Num Article], Tableau5[[#This Row],[Num Article]], Tableau7[Type], "Sortie")</f>
        <v>188</v>
      </c>
      <c r="G12" s="53">
        <f>Tableau5[[#This Row],[Quantite]]*Tableau5[[#This Row],[Prix Unitaire]]</f>
        <v>28200000</v>
      </c>
      <c r="H12" s="56">
        <v>10</v>
      </c>
      <c r="I12" s="54" t="str">
        <f t="shared" si="2"/>
        <v/>
      </c>
      <c r="J12" s="57" t="s">
        <v>275</v>
      </c>
      <c r="K12" s="51"/>
      <c r="L12" s="51"/>
      <c r="M12" s="51"/>
      <c r="N12" s="51"/>
      <c r="O12" s="51"/>
      <c r="P12" s="51"/>
      <c r="Q12" s="51"/>
      <c r="R12" s="51"/>
    </row>
    <row r="13" spans="2:18" x14ac:dyDescent="0.25">
      <c r="B13" s="51" t="s">
        <v>282</v>
      </c>
      <c r="C13" s="51" t="s">
        <v>283</v>
      </c>
      <c r="D13" s="51" t="s">
        <v>326</v>
      </c>
      <c r="E13" s="53">
        <v>600</v>
      </c>
      <c r="F13" s="51">
        <f>SUMIFS(Tableau7[Quantite], Tableau7[Num Article], Tableau5[[#This Row],[Num Article]], Tableau7[Type], "Entree") - SUMIFS(Tableau7[Quantite], Tableau7[Num Article], Tableau5[[#This Row],[Num Article]], Tableau7[Type], "Sortie")</f>
        <v>277</v>
      </c>
      <c r="G13" s="53">
        <f>Tableau5[[#This Row],[Quantite]]*Tableau5[[#This Row],[Prix Unitaire]]</f>
        <v>166200</v>
      </c>
      <c r="H13" s="56">
        <v>10</v>
      </c>
      <c r="I13" s="54" t="str">
        <f t="shared" si="2"/>
        <v/>
      </c>
      <c r="J13" s="57" t="s">
        <v>275</v>
      </c>
      <c r="K13" s="51"/>
      <c r="L13" s="51"/>
      <c r="M13" s="51"/>
      <c r="N13" s="51"/>
      <c r="O13" s="51"/>
      <c r="P13" s="51"/>
      <c r="Q13" s="51"/>
      <c r="R13" s="51"/>
    </row>
    <row r="14" spans="2:18" x14ac:dyDescent="0.25">
      <c r="B14" s="51" t="s">
        <v>284</v>
      </c>
      <c r="C14" s="51" t="s">
        <v>285</v>
      </c>
      <c r="D14" s="51" t="s">
        <v>327</v>
      </c>
      <c r="E14" s="53">
        <v>1500000</v>
      </c>
      <c r="F14" s="51">
        <f>SUMIFS(Tableau7[Quantite], Tableau7[Num Article], Tableau5[[#This Row],[Num Article]], Tableau7[Type], "Entree") - SUMIFS(Tableau7[Quantite], Tableau7[Num Article], Tableau5[[#This Row],[Num Article]], Tableau7[Type], "Sortie")</f>
        <v>170</v>
      </c>
      <c r="G14" s="53">
        <f>Tableau5[[#This Row],[Quantite]]*Tableau5[[#This Row],[Prix Unitaire]]</f>
        <v>255000000</v>
      </c>
      <c r="H14" s="56">
        <v>10</v>
      </c>
      <c r="I14" s="54" t="str">
        <f t="shared" si="2"/>
        <v/>
      </c>
      <c r="J14" s="57" t="s">
        <v>275</v>
      </c>
      <c r="K14" s="51"/>
      <c r="L14" s="51"/>
      <c r="M14" s="51"/>
      <c r="N14" s="51"/>
      <c r="O14" s="51"/>
      <c r="P14" s="51"/>
      <c r="Q14" s="51"/>
      <c r="R14" s="51"/>
    </row>
    <row r="15" spans="2:18" x14ac:dyDescent="0.25">
      <c r="B15" s="51" t="s">
        <v>372</v>
      </c>
      <c r="C15" s="51" t="s">
        <v>373</v>
      </c>
      <c r="D15" s="51" t="s">
        <v>326</v>
      </c>
      <c r="E15" s="53">
        <v>500</v>
      </c>
      <c r="F15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15" s="53">
        <f>Tableau5[[#This Row],[Quantite]]*Tableau5[[#This Row],[Prix Unitaire]]</f>
        <v>50000</v>
      </c>
      <c r="H15" s="56">
        <v>10</v>
      </c>
      <c r="I15" s="54" t="str">
        <f t="shared" si="2"/>
        <v/>
      </c>
      <c r="J15" s="57" t="s">
        <v>275</v>
      </c>
      <c r="K15" s="51"/>
      <c r="L15" s="51"/>
      <c r="M15" s="51"/>
      <c r="N15" s="51"/>
      <c r="O15" s="51"/>
      <c r="P15" s="51"/>
      <c r="Q15" s="51"/>
      <c r="R15" s="51"/>
    </row>
    <row r="16" spans="2:18" x14ac:dyDescent="0.25">
      <c r="B16" s="51" t="s">
        <v>381</v>
      </c>
      <c r="C16" s="51" t="s">
        <v>382</v>
      </c>
      <c r="D16" s="51" t="s">
        <v>326</v>
      </c>
      <c r="E16" s="53">
        <v>1000</v>
      </c>
      <c r="F16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16" s="53">
        <f>Tableau5[[#This Row],[Quantite]]*Tableau5[[#This Row],[Prix Unitaire]]</f>
        <v>100000</v>
      </c>
      <c r="H16" s="56">
        <v>10</v>
      </c>
      <c r="I16" s="54" t="str">
        <f t="shared" ref="I16:I22" si="3">IF(F16&lt;H16,1,"")</f>
        <v/>
      </c>
      <c r="J16" s="57" t="s">
        <v>275</v>
      </c>
      <c r="K16" s="51"/>
      <c r="L16" s="51"/>
      <c r="M16" s="51"/>
      <c r="N16" s="51"/>
      <c r="O16" s="51"/>
      <c r="P16" s="51"/>
      <c r="Q16" s="51"/>
      <c r="R16" s="51"/>
    </row>
    <row r="17" spans="2:18" x14ac:dyDescent="0.25">
      <c r="B17" s="51" t="s">
        <v>386</v>
      </c>
      <c r="C17" s="51" t="s">
        <v>387</v>
      </c>
      <c r="D17" s="51" t="s">
        <v>385</v>
      </c>
      <c r="E17" s="53">
        <v>1400</v>
      </c>
      <c r="F17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17" s="53">
        <f>Tableau5[[#This Row],[Quantite]]*Tableau5[[#This Row],[Prix Unitaire]]</f>
        <v>140000</v>
      </c>
      <c r="H17" s="56">
        <v>10</v>
      </c>
      <c r="I17" s="54" t="str">
        <f t="shared" si="3"/>
        <v/>
      </c>
      <c r="J17" s="57" t="s">
        <v>275</v>
      </c>
      <c r="K17" s="51"/>
      <c r="L17" s="51"/>
      <c r="M17" s="51"/>
      <c r="N17" s="51"/>
      <c r="O17" s="51"/>
      <c r="P17" s="51"/>
      <c r="Q17" s="51"/>
      <c r="R17" s="51"/>
    </row>
    <row r="18" spans="2:18" x14ac:dyDescent="0.25">
      <c r="B18" s="51" t="s">
        <v>388</v>
      </c>
      <c r="C18" s="51" t="s">
        <v>389</v>
      </c>
      <c r="D18" s="51" t="s">
        <v>385</v>
      </c>
      <c r="E18" s="53">
        <v>800</v>
      </c>
      <c r="F18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18" s="53">
        <f>Tableau5[[#This Row],[Quantite]]*Tableau5[[#This Row],[Prix Unitaire]]</f>
        <v>80000</v>
      </c>
      <c r="H18" s="56">
        <v>10</v>
      </c>
      <c r="I18" s="54" t="str">
        <f t="shared" si="3"/>
        <v/>
      </c>
      <c r="J18" s="57" t="s">
        <v>275</v>
      </c>
      <c r="K18" s="51"/>
      <c r="L18" s="51"/>
      <c r="M18" s="51"/>
      <c r="N18" s="51"/>
      <c r="O18" s="51"/>
      <c r="P18" s="51"/>
      <c r="Q18" s="51"/>
      <c r="R18" s="51"/>
    </row>
    <row r="19" spans="2:18" x14ac:dyDescent="0.25">
      <c r="B19" s="51" t="s">
        <v>394</v>
      </c>
      <c r="C19" s="51" t="s">
        <v>395</v>
      </c>
      <c r="D19" s="51" t="s">
        <v>390</v>
      </c>
      <c r="E19" s="53">
        <v>500</v>
      </c>
      <c r="F19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19" s="53">
        <f>Tableau5[[#This Row],[Quantite]]*Tableau5[[#This Row],[Prix Unitaire]]</f>
        <v>50000</v>
      </c>
      <c r="H19" s="56">
        <v>10</v>
      </c>
      <c r="I19" s="54" t="str">
        <f t="shared" si="3"/>
        <v/>
      </c>
      <c r="J19" s="57" t="s">
        <v>275</v>
      </c>
      <c r="K19" s="51"/>
      <c r="L19" s="51"/>
      <c r="M19" s="51"/>
      <c r="N19" s="51"/>
      <c r="O19" s="51"/>
      <c r="P19" s="51"/>
      <c r="Q19" s="51"/>
      <c r="R19" s="51"/>
    </row>
    <row r="20" spans="2:18" x14ac:dyDescent="0.25">
      <c r="B20" s="51" t="s">
        <v>396</v>
      </c>
      <c r="C20" s="51" t="s">
        <v>397</v>
      </c>
      <c r="D20" s="51" t="s">
        <v>391</v>
      </c>
      <c r="E20" s="53">
        <v>2000</v>
      </c>
      <c r="F20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20" s="53">
        <f>Tableau5[[#This Row],[Quantite]]*Tableau5[[#This Row],[Prix Unitaire]]</f>
        <v>200000</v>
      </c>
      <c r="H20" s="56">
        <v>10</v>
      </c>
      <c r="I20" s="54" t="str">
        <f t="shared" si="3"/>
        <v/>
      </c>
      <c r="J20" s="57" t="s">
        <v>275</v>
      </c>
      <c r="K20" s="51"/>
      <c r="L20" s="51"/>
      <c r="M20" s="51"/>
      <c r="N20" s="51"/>
      <c r="O20" s="51"/>
      <c r="P20" s="51"/>
      <c r="Q20" s="51"/>
      <c r="R20" s="51"/>
    </row>
    <row r="21" spans="2:18" x14ac:dyDescent="0.25">
      <c r="B21" s="51" t="s">
        <v>398</v>
      </c>
      <c r="C21" s="51" t="s">
        <v>399</v>
      </c>
      <c r="D21" s="51" t="s">
        <v>392</v>
      </c>
      <c r="E21" s="53">
        <v>4000</v>
      </c>
      <c r="F21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21" s="53">
        <f>Tableau5[[#This Row],[Quantite]]*Tableau5[[#This Row],[Prix Unitaire]]</f>
        <v>400000</v>
      </c>
      <c r="H21" s="56">
        <v>10</v>
      </c>
      <c r="I21" s="54" t="str">
        <f t="shared" si="3"/>
        <v/>
      </c>
      <c r="J21" s="57" t="s">
        <v>275</v>
      </c>
      <c r="K21" s="51"/>
      <c r="L21" s="51"/>
      <c r="M21" s="51"/>
      <c r="N21" s="51"/>
      <c r="O21" s="51"/>
      <c r="P21" s="51"/>
      <c r="Q21" s="51"/>
      <c r="R21" s="51"/>
    </row>
    <row r="22" spans="2:18" x14ac:dyDescent="0.25">
      <c r="B22" s="51" t="s">
        <v>400</v>
      </c>
      <c r="C22" s="51" t="s">
        <v>401</v>
      </c>
      <c r="D22" s="51" t="s">
        <v>393</v>
      </c>
      <c r="E22" s="53">
        <v>3900</v>
      </c>
      <c r="F22" s="51">
        <f>SUMIFS(Tableau7[Quantite], Tableau7[Num Article], Tableau5[[#This Row],[Num Article]], Tableau7[Type], "Entree") - SUMIFS(Tableau7[Quantite], Tableau7[Num Article], Tableau5[[#This Row],[Num Article]], Tableau7[Type], "Sortie")</f>
        <v>55</v>
      </c>
      <c r="G22" s="53">
        <f>Tableau5[[#This Row],[Quantite]]*Tableau5[[#This Row],[Prix Unitaire]]</f>
        <v>214500</v>
      </c>
      <c r="H22" s="56">
        <v>10</v>
      </c>
      <c r="I22" s="54" t="str">
        <f t="shared" si="3"/>
        <v/>
      </c>
      <c r="J22" s="57" t="s">
        <v>275</v>
      </c>
      <c r="K22" s="51"/>
      <c r="L22" s="51"/>
      <c r="M22" s="51"/>
      <c r="N22" s="51"/>
      <c r="O22" s="51"/>
      <c r="P22" s="51"/>
      <c r="Q22" s="51"/>
      <c r="R22" s="51"/>
    </row>
    <row r="23" spans="2:18" x14ac:dyDescent="0.25">
      <c r="B23" s="51" t="s">
        <v>414</v>
      </c>
      <c r="C23" s="51" t="s">
        <v>415</v>
      </c>
      <c r="D23" s="51" t="s">
        <v>392</v>
      </c>
      <c r="E23" s="53">
        <v>2000</v>
      </c>
      <c r="F23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23" s="53">
        <f>Tableau5[[#This Row],[Quantite]]*Tableau5[[#This Row],[Prix Unitaire]]</f>
        <v>200000</v>
      </c>
      <c r="H23" s="56">
        <v>10</v>
      </c>
      <c r="I23" s="54" t="str">
        <f t="shared" ref="I23:I28" si="4">IF(F23&lt;H23,1,"")</f>
        <v/>
      </c>
      <c r="J23" s="57" t="s">
        <v>275</v>
      </c>
      <c r="K23" s="51"/>
      <c r="L23" s="51"/>
      <c r="M23" s="51"/>
      <c r="N23" s="51"/>
      <c r="O23" s="51"/>
      <c r="P23" s="51"/>
      <c r="Q23" s="51"/>
      <c r="R23" s="51"/>
    </row>
    <row r="24" spans="2:18" x14ac:dyDescent="0.25">
      <c r="B24" s="51" t="s">
        <v>420</v>
      </c>
      <c r="C24" s="51" t="s">
        <v>421</v>
      </c>
      <c r="D24" s="51" t="s">
        <v>327</v>
      </c>
      <c r="E24" s="53">
        <v>300000</v>
      </c>
      <c r="F24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24" s="53">
        <f>Tableau5[[#This Row],[Quantite]]*Tableau5[[#This Row],[Prix Unitaire]]</f>
        <v>30000000</v>
      </c>
      <c r="H24" s="56">
        <v>10</v>
      </c>
      <c r="I24" s="54" t="str">
        <f t="shared" si="4"/>
        <v/>
      </c>
      <c r="J24" s="57" t="s">
        <v>275</v>
      </c>
      <c r="K24" s="51"/>
      <c r="L24" s="51"/>
      <c r="M24" s="51"/>
      <c r="N24" s="51"/>
      <c r="O24" s="51"/>
      <c r="P24" s="51"/>
      <c r="Q24" s="51"/>
      <c r="R24" s="51"/>
    </row>
    <row r="25" spans="2:18" x14ac:dyDescent="0.25">
      <c r="B25" s="51" t="s">
        <v>422</v>
      </c>
      <c r="C25" s="51" t="s">
        <v>423</v>
      </c>
      <c r="D25" s="51" t="s">
        <v>391</v>
      </c>
      <c r="E25" s="53">
        <v>3000</v>
      </c>
      <c r="F25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25" s="53">
        <f>Tableau5[[#This Row],[Quantite]]*Tableau5[[#This Row],[Prix Unitaire]]</f>
        <v>300000</v>
      </c>
      <c r="H25" s="56">
        <v>10</v>
      </c>
      <c r="I25" s="54" t="str">
        <f t="shared" si="4"/>
        <v/>
      </c>
      <c r="J25" s="57" t="s">
        <v>275</v>
      </c>
      <c r="K25" s="51"/>
      <c r="L25" s="51"/>
      <c r="M25" s="51"/>
      <c r="N25" s="51"/>
      <c r="O25" s="51"/>
      <c r="P25" s="51"/>
      <c r="Q25" s="51"/>
      <c r="R25" s="51"/>
    </row>
    <row r="26" spans="2:18" x14ac:dyDescent="0.25">
      <c r="B26" s="51" t="s">
        <v>424</v>
      </c>
      <c r="C26" s="51" t="s">
        <v>425</v>
      </c>
      <c r="D26" s="51" t="s">
        <v>325</v>
      </c>
      <c r="E26" s="53">
        <v>400</v>
      </c>
      <c r="F26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26" s="53">
        <f>Tableau5[[#This Row],[Quantite]]*Tableau5[[#This Row],[Prix Unitaire]]</f>
        <v>40000</v>
      </c>
      <c r="H26" s="56">
        <v>10</v>
      </c>
      <c r="I26" s="54" t="str">
        <f t="shared" si="4"/>
        <v/>
      </c>
      <c r="J26" s="57" t="s">
        <v>275</v>
      </c>
      <c r="K26" s="51"/>
      <c r="L26" s="51"/>
      <c r="M26" s="51"/>
      <c r="N26" s="51"/>
      <c r="O26" s="51"/>
      <c r="P26" s="51"/>
      <c r="Q26" s="51"/>
      <c r="R26" s="51"/>
    </row>
    <row r="27" spans="2:18" x14ac:dyDescent="0.25">
      <c r="B27" s="51" t="s">
        <v>426</v>
      </c>
      <c r="C27" s="51" t="s">
        <v>27</v>
      </c>
      <c r="D27" s="51" t="s">
        <v>384</v>
      </c>
      <c r="E27" s="53">
        <v>1035</v>
      </c>
      <c r="F27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27" s="53">
        <f>Tableau5[[#This Row],[Quantite]]*Tableau5[[#This Row],[Prix Unitaire]]</f>
        <v>103500</v>
      </c>
      <c r="H27" s="56">
        <v>10</v>
      </c>
      <c r="I27" s="54" t="str">
        <f t="shared" si="4"/>
        <v/>
      </c>
      <c r="J27" s="57" t="s">
        <v>275</v>
      </c>
      <c r="K27" s="51"/>
      <c r="L27" s="51"/>
      <c r="M27" s="51"/>
      <c r="N27" s="51"/>
      <c r="O27" s="51"/>
      <c r="P27" s="51"/>
      <c r="Q27" s="51"/>
      <c r="R27" s="51"/>
    </row>
    <row r="28" spans="2:18" x14ac:dyDescent="0.25">
      <c r="B28" s="51" t="s">
        <v>427</v>
      </c>
      <c r="C28" s="51" t="s">
        <v>383</v>
      </c>
      <c r="D28" s="51" t="s">
        <v>384</v>
      </c>
      <c r="E28" s="53">
        <v>300</v>
      </c>
      <c r="F28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28" s="53">
        <f>Tableau5[[#This Row],[Quantite]]*Tableau5[[#This Row],[Prix Unitaire]]</f>
        <v>30000</v>
      </c>
      <c r="H28" s="56">
        <v>10</v>
      </c>
      <c r="I28" s="54" t="str">
        <f t="shared" si="4"/>
        <v/>
      </c>
      <c r="J28" s="57" t="s">
        <v>275</v>
      </c>
      <c r="K28" s="51"/>
      <c r="L28" s="51"/>
      <c r="M28" s="51"/>
      <c r="N28" s="51"/>
      <c r="O28" s="51"/>
      <c r="P28" s="51"/>
      <c r="Q28" s="51"/>
      <c r="R28" s="51"/>
    </row>
    <row r="29" spans="2:18" x14ac:dyDescent="0.25">
      <c r="B29" s="51" t="s">
        <v>455</v>
      </c>
      <c r="C29" s="51" t="s">
        <v>456</v>
      </c>
      <c r="D29" s="51" t="s">
        <v>391</v>
      </c>
      <c r="E29" s="53">
        <v>1300</v>
      </c>
      <c r="F29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29" s="53">
        <f>Tableau5[[#This Row],[Quantite]]*Tableau5[[#This Row],[Prix Unitaire]]</f>
        <v>130000</v>
      </c>
      <c r="H29" s="56">
        <v>10</v>
      </c>
      <c r="I29" s="54" t="str">
        <f>IF(F29&lt;H29,1,"")</f>
        <v/>
      </c>
      <c r="J29" s="57" t="s">
        <v>457</v>
      </c>
      <c r="K29" s="51"/>
      <c r="L29" s="51"/>
      <c r="M29" s="51"/>
      <c r="N29" s="51"/>
      <c r="O29" s="51"/>
      <c r="P29" s="51"/>
      <c r="Q29" s="51"/>
      <c r="R29" s="51"/>
    </row>
    <row r="30" spans="2:18" s="74" customFormat="1" x14ac:dyDescent="0.25">
      <c r="B30" s="69" t="s">
        <v>476</v>
      </c>
      <c r="C30" s="69" t="s">
        <v>477</v>
      </c>
      <c r="D30" s="69" t="s">
        <v>325</v>
      </c>
      <c r="E30" s="70">
        <v>2200</v>
      </c>
      <c r="F30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30" s="70">
        <f>Tableau5[[#This Row],[Quantite]]*Tableau5[[#This Row],[Prix Unitaire]]</f>
        <v>220000</v>
      </c>
      <c r="H30" s="71">
        <v>10</v>
      </c>
      <c r="I30" s="72" t="str">
        <f>IF(F30&lt;H30,1,"")</f>
        <v/>
      </c>
      <c r="J30" s="73" t="s">
        <v>275</v>
      </c>
      <c r="K30" s="69"/>
      <c r="L30" s="69"/>
      <c r="M30" s="69"/>
      <c r="N30" s="69"/>
      <c r="O30" s="69"/>
      <c r="P30" s="69"/>
      <c r="Q30" s="69"/>
      <c r="R30" s="69"/>
    </row>
    <row r="31" spans="2:18" x14ac:dyDescent="0.25">
      <c r="B31" s="51" t="s">
        <v>478</v>
      </c>
      <c r="C31" s="51" t="s">
        <v>479</v>
      </c>
      <c r="D31" s="51" t="s">
        <v>325</v>
      </c>
      <c r="E31" s="53">
        <v>1500</v>
      </c>
      <c r="F31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31" s="53">
        <f>Tableau5[[#This Row],[Quantite]]*Tableau5[[#This Row],[Prix Unitaire]]</f>
        <v>150000</v>
      </c>
      <c r="H31" s="56">
        <v>10</v>
      </c>
      <c r="I31" s="54" t="str">
        <f>IF(F31&lt;H31,1,"")</f>
        <v/>
      </c>
      <c r="J31" s="57" t="s">
        <v>275</v>
      </c>
      <c r="K31" s="51"/>
      <c r="L31" s="51"/>
      <c r="M31" s="51"/>
      <c r="N31" s="51"/>
      <c r="O31" s="51"/>
      <c r="P31" s="51"/>
      <c r="Q31" s="51"/>
      <c r="R31" s="51"/>
    </row>
    <row r="32" spans="2:18" x14ac:dyDescent="0.25">
      <c r="B32" s="51" t="s">
        <v>476</v>
      </c>
      <c r="C32" s="51" t="s">
        <v>480</v>
      </c>
      <c r="D32" s="51" t="s">
        <v>325</v>
      </c>
      <c r="E32" s="53">
        <v>2200</v>
      </c>
      <c r="F32" s="51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32" s="53">
        <f>Tableau5[[#This Row],[Quantite]]*Tableau5[[#This Row],[Prix Unitaire]]</f>
        <v>220000</v>
      </c>
      <c r="H32" s="56">
        <v>10</v>
      </c>
      <c r="I32" s="54" t="str">
        <f>IF(F32&lt;H32,1,"")</f>
        <v/>
      </c>
      <c r="J32" s="57" t="s">
        <v>275</v>
      </c>
      <c r="K32" s="51"/>
      <c r="L32" s="51"/>
      <c r="M32" s="51"/>
      <c r="N32" s="51"/>
      <c r="O32" s="51"/>
      <c r="P32" s="51"/>
      <c r="Q32" s="51"/>
      <c r="R32" s="51"/>
    </row>
    <row r="33" spans="2:18" x14ac:dyDescent="0.25">
      <c r="B33" s="51" t="s">
        <v>489</v>
      </c>
      <c r="C33" s="51" t="s">
        <v>497</v>
      </c>
      <c r="D33" s="51" t="s">
        <v>325</v>
      </c>
      <c r="E33" s="53">
        <v>1250</v>
      </c>
      <c r="F33" s="56">
        <f>SUMIFS(Tableau7[Quantite], Tableau7[Num Article], Tableau5[[#This Row],[Num Article]], Tableau7[Type], "Entree") - SUMIFS(Tableau7[Quantite], Tableau7[Num Article], Tableau5[[#This Row],[Num Article]], Tableau7[Type], "Sortie")</f>
        <v>100</v>
      </c>
      <c r="G33" s="53">
        <f>Tableau5[[#This Row],[Quantite]]*Tableau5[[#This Row],[Prix Unitaire]]</f>
        <v>125000</v>
      </c>
      <c r="H33" s="56">
        <v>10</v>
      </c>
      <c r="I33" s="54" t="str">
        <f>IF(F33&lt;H33,1,"")</f>
        <v/>
      </c>
      <c r="J33" s="57" t="s">
        <v>275</v>
      </c>
      <c r="K33" s="51"/>
      <c r="L33" s="51"/>
      <c r="M33" s="51"/>
      <c r="N33" s="51"/>
      <c r="O33" s="51"/>
      <c r="P33" s="51"/>
      <c r="Q33" s="51"/>
      <c r="R33" s="51"/>
    </row>
  </sheetData>
  <phoneticPr fontId="2" type="noConversion"/>
  <conditionalFormatting sqref="R5:R33">
    <cfRule type="expression" dxfId="134" priority="5">
      <formula>AND($B5&lt;&gt;"",$F5&lt;$H5,$F5&gt;$P$3)</formula>
    </cfRule>
    <cfRule type="expression" dxfId="133" priority="7">
      <formula>AND($B5&lt;&gt;"",$F5&gt;=$H5,$F5&gt;$P$3)</formula>
    </cfRule>
  </conditionalFormatting>
  <conditionalFormatting sqref="K5:Q5 K8:Q22">
    <cfRule type="expression" dxfId="132" priority="32">
      <formula>AND($B5&lt;&gt;"",$F5&lt;$H5,$F5&gt;=K$3)</formula>
    </cfRule>
    <cfRule type="expression" dxfId="131" priority="33">
      <formula>AND($B5&lt;&gt;"""",$F5&gt;=$H5,$F5&gt;=K$3)</formula>
    </cfRule>
    <cfRule type="expression" dxfId="130" priority="34">
      <formula>$B3&lt;&gt;""</formula>
    </cfRule>
  </conditionalFormatting>
  <conditionalFormatting sqref="K23:Q28">
    <cfRule type="expression" dxfId="129" priority="51">
      <formula>AND($B23&lt;&gt;"",$F23&lt;$H23,$F23&gt;=K$3)</formula>
    </cfRule>
    <cfRule type="expression" dxfId="128" priority="52">
      <formula>AND($B23&lt;&gt;"""",$F23&gt;=$H23,$F23&gt;=K$3)</formula>
    </cfRule>
    <cfRule type="expression" dxfId="127" priority="53">
      <formula>$B22&lt;&gt;""</formula>
    </cfRule>
  </conditionalFormatting>
  <conditionalFormatting sqref="K7:Q7">
    <cfRule type="expression" dxfId="126" priority="80">
      <formula>AND($B7&lt;&gt;"",$F7&lt;$H7,$F7&gt;=K$3)</formula>
    </cfRule>
    <cfRule type="expression" dxfId="125" priority="81">
      <formula>AND($B7&lt;&gt;"""",$F7&gt;=$H7,$F7&gt;=K$3)</formula>
    </cfRule>
    <cfRule type="expression" dxfId="124" priority="82">
      <formula>#REF!&lt;&gt;""</formula>
    </cfRule>
  </conditionalFormatting>
  <conditionalFormatting sqref="K6:Q6">
    <cfRule type="expression" dxfId="123" priority="100">
      <formula>AND($B6&lt;&gt;"",$F6&lt;$H6,$F6&gt;=K$3)</formula>
    </cfRule>
    <cfRule type="expression" dxfId="122" priority="101">
      <formula>AND($B6&lt;&gt;"""",$F6&gt;=$H6,$F6&gt;=K$3)</formula>
    </cfRule>
    <cfRule type="expression" dxfId="121" priority="102">
      <formula>#REF!&lt;&gt;""</formula>
    </cfRule>
  </conditionalFormatting>
  <conditionalFormatting sqref="R5:R33">
    <cfRule type="expression" dxfId="120" priority="1">
      <formula>$F5=11</formula>
    </cfRule>
  </conditionalFormatting>
  <dataValidations count="1">
    <dataValidation type="list" allowBlank="1" showInputMessage="1" showErrorMessage="1" sqref="J5:J33" xr:uid="{BB7C2CCB-29AC-45A7-AD51-6CB08E218B08}">
      <formula1>"Actif,Inactif"</formula1>
    </dataValidation>
  </dataValidations>
  <pageMargins left="0.7" right="0.7" top="0.75" bottom="0.75" header="0.3" footer="0.3"/>
  <pageSetup paperSize="9" orientation="portrait" r:id="rId1"/>
  <ignoredErrors>
    <ignoredError sqref="H5 H6:H10" calculatedColumn="1"/>
  </ignoredErrors>
  <drawing r:id="rId2"/>
  <legacyDrawing r:id="rId3"/>
  <controls>
    <mc:AlternateContent xmlns:mc="http://schemas.openxmlformats.org/markup-compatibility/2006">
      <mc:Choice Requires="x14">
        <control shapeId="2053" r:id="rId4" name="CommandButton1">
          <controlPr defaultSize="0" autoLine="0" autoPict="0" r:id="rId5">
            <anchor moveWithCells="1">
              <from>
                <xdr:col>3</xdr:col>
                <xdr:colOff>1666875</xdr:colOff>
                <xdr:row>2</xdr:row>
                <xdr:rowOff>57150</xdr:rowOff>
              </from>
              <to>
                <xdr:col>4</xdr:col>
                <xdr:colOff>523875</xdr:colOff>
                <xdr:row>2</xdr:row>
                <xdr:rowOff>571500</xdr:rowOff>
              </to>
            </anchor>
          </controlPr>
        </control>
      </mc:Choice>
      <mc:Fallback>
        <control shapeId="2053" r:id="rId4" name="CommandButton1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9" id="{0160E998-C06B-4A61-BF1F-C8F5F965A570}">
            <x14:iconSet iconSet="3Flags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I5:I33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DFBBE-7C89-4521-A965-3A5BA2C4D145}">
  <sheetPr codeName="Feuil3"/>
  <dimension ref="A1:M144"/>
  <sheetViews>
    <sheetView showGridLines="0" topLeftCell="G1" zoomScale="129" workbookViewId="0">
      <selection activeCell="E58" sqref="E58"/>
    </sheetView>
  </sheetViews>
  <sheetFormatPr baseColWidth="10" defaultColWidth="11.42578125" defaultRowHeight="15" x14ac:dyDescent="0.25"/>
  <cols>
    <col min="1" max="1" width="1" style="1" customWidth="1"/>
    <col min="2" max="2" width="26.28515625" style="1" customWidth="1"/>
    <col min="3" max="3" width="22.140625" style="1" customWidth="1"/>
    <col min="4" max="4" width="15.42578125" style="1" customWidth="1"/>
    <col min="5" max="5" width="27.5703125" style="1" customWidth="1"/>
    <col min="6" max="6" width="14.140625" style="1" customWidth="1"/>
    <col min="7" max="7" width="24.7109375" style="1" customWidth="1"/>
    <col min="8" max="8" width="27" style="1" customWidth="1"/>
    <col min="9" max="9" width="21.5703125" style="1" customWidth="1"/>
    <col min="10" max="10" width="16.85546875" style="1" customWidth="1"/>
    <col min="11" max="11" width="19.28515625" style="1" customWidth="1"/>
    <col min="12" max="16384" width="11.42578125" style="1"/>
  </cols>
  <sheetData>
    <row r="1" spans="1:13" ht="18" customHeight="1" x14ac:dyDescent="0.2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1:13" ht="67.5" customHeight="1" x14ac:dyDescent="0.6">
      <c r="A2" s="31"/>
      <c r="B2" s="32"/>
      <c r="C2" s="29"/>
      <c r="D2" s="31"/>
      <c r="E2" s="31"/>
      <c r="J2" s="31"/>
      <c r="K2" s="31"/>
      <c r="L2" s="31"/>
      <c r="M2" s="31"/>
    </row>
    <row r="3" spans="1:13" x14ac:dyDescent="0.2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</row>
    <row r="4" spans="1:13" x14ac:dyDescent="0.2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</row>
    <row r="5" spans="1:13" x14ac:dyDescent="0.25">
      <c r="A5" s="31"/>
      <c r="B5" s="30" t="s">
        <v>156</v>
      </c>
      <c r="C5" s="30" t="s">
        <v>92</v>
      </c>
      <c r="D5" s="30" t="s">
        <v>155</v>
      </c>
      <c r="E5" s="30" t="s">
        <v>0</v>
      </c>
      <c r="F5" s="30" t="s">
        <v>93</v>
      </c>
      <c r="G5" s="30" t="s">
        <v>94</v>
      </c>
      <c r="H5" s="30" t="s">
        <v>95</v>
      </c>
      <c r="I5" s="30" t="s">
        <v>96</v>
      </c>
      <c r="J5" s="30" t="s">
        <v>174</v>
      </c>
      <c r="K5" s="30" t="s">
        <v>175</v>
      </c>
      <c r="L5" s="31"/>
      <c r="M5" s="31"/>
    </row>
    <row r="6" spans="1:13" x14ac:dyDescent="0.25">
      <c r="A6" s="31"/>
      <c r="B6" s="1" t="s">
        <v>158</v>
      </c>
      <c r="C6" s="7">
        <v>45765.966793981483</v>
      </c>
      <c r="D6" s="1" t="s">
        <v>24</v>
      </c>
      <c r="E6" s="1" t="s">
        <v>25</v>
      </c>
      <c r="F6" s="1">
        <v>45</v>
      </c>
      <c r="G6" s="6">
        <v>150</v>
      </c>
      <c r="H6" s="6">
        <f>F6*G6</f>
        <v>6750</v>
      </c>
      <c r="I6" s="1" t="s">
        <v>104</v>
      </c>
      <c r="J6" s="1" t="str">
        <f t="array" ref="J6">IFERROR(INDEX(Tableau7[Quantite], MATCH(1, (Tableau7[Num Bon de Commande]=Tableau3[[#This Row],[Num Commande]]) * (Tableau7[Num Article]=Tableau3[[#This Row],[Num Article]]), 0)), "")</f>
        <v/>
      </c>
      <c r="K6" s="1" t="str">
        <f>IF(Tableau3[[#This Row],[Contrôle]]=Tableau3[[#This Row],[Quantite]],"Close","Open")</f>
        <v>Open</v>
      </c>
      <c r="L6" s="31"/>
      <c r="M6" s="31"/>
    </row>
    <row r="7" spans="1:13" x14ac:dyDescent="0.25">
      <c r="A7" s="31"/>
      <c r="B7" s="1" t="s">
        <v>159</v>
      </c>
      <c r="C7" s="7">
        <v>45766.95753472222</v>
      </c>
      <c r="D7" s="1" t="s">
        <v>166</v>
      </c>
      <c r="E7" s="1" t="s">
        <v>167</v>
      </c>
      <c r="F7" s="1">
        <v>60</v>
      </c>
      <c r="G7" s="6">
        <v>700</v>
      </c>
      <c r="H7" s="6">
        <f t="shared" ref="H7:H18" si="0">F7*G7</f>
        <v>42000</v>
      </c>
      <c r="I7" s="1" t="s">
        <v>108</v>
      </c>
      <c r="J7" s="35">
        <f t="array" ref="J7">IFERROR(INDEX(Tableau7[Quantite], MATCH(1, (Tableau7[Num Bon de Commande]=Tableau3[[#This Row],[Num Commande]]) * (Tableau7[Num Article]=Tableau3[[#This Row],[Num Article]]), 0)), "")</f>
        <v>60</v>
      </c>
      <c r="K7" s="1" t="str">
        <f>IF(Tableau3[[#This Row],[Contrôle]]=Tableau3[[#This Row],[Quantite]],"Close","Open")</f>
        <v>Close</v>
      </c>
      <c r="L7" s="31"/>
      <c r="M7" s="31"/>
    </row>
    <row r="8" spans="1:13" x14ac:dyDescent="0.25">
      <c r="A8" s="31"/>
      <c r="B8" s="1" t="s">
        <v>157</v>
      </c>
      <c r="C8" s="7">
        <v>45766.963067129633</v>
      </c>
      <c r="D8" s="1" t="s">
        <v>22</v>
      </c>
      <c r="E8" s="1" t="s">
        <v>23</v>
      </c>
      <c r="F8" s="1">
        <v>1</v>
      </c>
      <c r="G8" s="6">
        <v>1000</v>
      </c>
      <c r="H8" s="6">
        <f t="shared" si="0"/>
        <v>1000</v>
      </c>
      <c r="I8" s="1" t="s">
        <v>97</v>
      </c>
      <c r="J8" s="35">
        <f t="array" ref="J8">IFERROR(INDEX(Tableau7[Quantite], MATCH(1, (Tableau7[Num Bon de Commande]=Tableau3[[#This Row],[Num Commande]]) * (Tableau7[Num Article]=Tableau3[[#This Row],[Num Article]]), 0)), "")</f>
        <v>1</v>
      </c>
      <c r="K8" s="1" t="str">
        <f>IF(Tableau3[[#This Row],[Contrôle]]=Tableau3[[#This Row],[Quantite]],"Close","Open")</f>
        <v>Close</v>
      </c>
      <c r="L8" s="31"/>
      <c r="M8" s="31"/>
    </row>
    <row r="9" spans="1:13" x14ac:dyDescent="0.25">
      <c r="A9" s="31"/>
      <c r="B9" s="1" t="s">
        <v>164</v>
      </c>
      <c r="C9" s="7">
        <v>45766.965578703705</v>
      </c>
      <c r="D9" s="1" t="s">
        <v>24</v>
      </c>
      <c r="E9" s="1" t="s">
        <v>25</v>
      </c>
      <c r="F9" s="1">
        <v>3</v>
      </c>
      <c r="G9" s="6">
        <v>150</v>
      </c>
      <c r="H9" s="6">
        <f t="shared" si="0"/>
        <v>450</v>
      </c>
      <c r="I9" s="1" t="s">
        <v>108</v>
      </c>
      <c r="J9" s="35">
        <f t="array" ref="J9">IFERROR(INDEX(Tableau7[Quantite], MATCH(1, (Tableau7[Num Bon de Commande]=Tableau3[[#This Row],[Num Commande]]) * (Tableau7[Num Article]=Tableau3[[#This Row],[Num Article]]), 0)), "")</f>
        <v>90</v>
      </c>
      <c r="K9" s="1" t="str">
        <f>IF(Tableau3[[#This Row],[Contrôle]]=Tableau3[[#This Row],[Quantite]],"Close","Open")</f>
        <v>Open</v>
      </c>
      <c r="L9" s="31"/>
      <c r="M9" s="31"/>
    </row>
    <row r="10" spans="1:13" x14ac:dyDescent="0.25">
      <c r="A10" s="31"/>
      <c r="B10" s="1" t="s">
        <v>164</v>
      </c>
      <c r="C10" s="7">
        <v>45766.965578703705</v>
      </c>
      <c r="D10" s="1" t="s">
        <v>26</v>
      </c>
      <c r="E10" s="1" t="s">
        <v>27</v>
      </c>
      <c r="F10" s="1">
        <v>3</v>
      </c>
      <c r="G10" s="6">
        <v>1000</v>
      </c>
      <c r="H10" s="6">
        <f t="shared" si="0"/>
        <v>3000</v>
      </c>
      <c r="I10" s="1" t="s">
        <v>108</v>
      </c>
      <c r="J10" s="35" t="str">
        <f t="array" ref="J10">IFERROR(INDEX(Tableau7[Quantite], MATCH(1, (Tableau7[Num Bon de Commande]=Tableau3[[#This Row],[Num Commande]]) * (Tableau7[Num Article]=Tableau3[[#This Row],[Num Article]]), 0)), "")</f>
        <v/>
      </c>
      <c r="K10" s="1" t="str">
        <f>IF(Tableau3[[#This Row],[Contrôle]]=Tableau3[[#This Row],[Quantite]],"Close","Open")</f>
        <v>Open</v>
      </c>
      <c r="L10" s="31"/>
      <c r="M10" s="31"/>
    </row>
    <row r="11" spans="1:13" x14ac:dyDescent="0.25">
      <c r="A11" s="31"/>
      <c r="B11" s="1" t="s">
        <v>165</v>
      </c>
      <c r="C11" s="7">
        <v>45766.997881944444</v>
      </c>
      <c r="D11" s="1" t="s">
        <v>24</v>
      </c>
      <c r="E11" s="1" t="s">
        <v>25</v>
      </c>
      <c r="F11" s="1">
        <v>3</v>
      </c>
      <c r="G11" s="6">
        <v>150</v>
      </c>
      <c r="H11" s="6">
        <f t="shared" si="0"/>
        <v>450</v>
      </c>
      <c r="I11" s="1" t="s">
        <v>104</v>
      </c>
      <c r="J11" s="35" t="str">
        <f t="array" ref="J11">IFERROR(INDEX(Tableau7[Quantite], MATCH(1, (Tableau7[Num Bon de Commande]=Tableau3[[#This Row],[Num Commande]]) * (Tableau7[Num Article]=Tableau3[[#This Row],[Num Article]]), 0)), "")</f>
        <v/>
      </c>
      <c r="K11" s="35" t="str">
        <f>IF(Tableau3[[#This Row],[Contrôle]]=Tableau3[[#This Row],[Quantite]],"Close","Open")</f>
        <v>Open</v>
      </c>
      <c r="L11" s="31"/>
      <c r="M11" s="31"/>
    </row>
    <row r="12" spans="1:13" x14ac:dyDescent="0.25">
      <c r="A12" s="31"/>
      <c r="B12" s="1" t="s">
        <v>191</v>
      </c>
      <c r="C12" s="7">
        <v>45767.731168981481</v>
      </c>
      <c r="D12" s="1" t="s">
        <v>22</v>
      </c>
      <c r="E12" s="1" t="s">
        <v>23</v>
      </c>
      <c r="F12" s="1">
        <v>100</v>
      </c>
      <c r="G12" s="6">
        <v>1000</v>
      </c>
      <c r="H12" s="6">
        <f t="shared" si="0"/>
        <v>100000</v>
      </c>
      <c r="I12" s="1" t="s">
        <v>104</v>
      </c>
      <c r="J12" s="35">
        <f t="array" ref="J12">IFERROR(INDEX(Tableau7[Quantite], MATCH(1, (Tableau7[Num Bon de Commande]=Tableau3[[#This Row],[Num Commande]]) * (Tableau7[Num Article]=Tableau3[[#This Row],[Num Article]]), 0)), "")</f>
        <v>100</v>
      </c>
      <c r="K12" s="35" t="str">
        <f>IF(Tableau3[[#This Row],[Contrôle]]=Tableau3[[#This Row],[Quantite]],"Close","Open")</f>
        <v>Close</v>
      </c>
      <c r="L12" s="31"/>
      <c r="M12" s="31"/>
    </row>
    <row r="13" spans="1:13" x14ac:dyDescent="0.25">
      <c r="A13" s="31"/>
      <c r="B13" s="1" t="s">
        <v>191</v>
      </c>
      <c r="C13" s="7">
        <v>45767.731168981481</v>
      </c>
      <c r="D13" s="1" t="s">
        <v>24</v>
      </c>
      <c r="E13" s="1" t="s">
        <v>25</v>
      </c>
      <c r="F13" s="1">
        <v>100</v>
      </c>
      <c r="G13" s="6">
        <v>150</v>
      </c>
      <c r="H13" s="6">
        <f t="shared" si="0"/>
        <v>15000</v>
      </c>
      <c r="I13" s="1" t="s">
        <v>104</v>
      </c>
      <c r="J13" s="35">
        <f t="array" ref="J13">IFERROR(INDEX(Tableau7[Quantite], MATCH(1, (Tableau7[Num Bon de Commande]=Tableau3[[#This Row],[Num Commande]]) * (Tableau7[Num Article]=Tableau3[[#This Row],[Num Article]]), 0)), "")</f>
        <v>100</v>
      </c>
      <c r="K13" s="35" t="str">
        <f>IF(Tableau3[[#This Row],[Contrôle]]=Tableau3[[#This Row],[Quantite]],"Close","Open")</f>
        <v>Close</v>
      </c>
      <c r="L13" s="31"/>
      <c r="M13" s="31"/>
    </row>
    <row r="14" spans="1:13" x14ac:dyDescent="0.25">
      <c r="A14" s="31"/>
      <c r="B14" s="1" t="s">
        <v>191</v>
      </c>
      <c r="C14" s="7">
        <v>45767.731168981481</v>
      </c>
      <c r="D14" s="1" t="s">
        <v>26</v>
      </c>
      <c r="E14" s="1" t="s">
        <v>27</v>
      </c>
      <c r="F14" s="1">
        <v>100</v>
      </c>
      <c r="G14" s="6">
        <v>1000</v>
      </c>
      <c r="H14" s="6">
        <f t="shared" si="0"/>
        <v>100000</v>
      </c>
      <c r="I14" s="1" t="s">
        <v>104</v>
      </c>
      <c r="J14" s="35">
        <f t="array" ref="J14">IFERROR(INDEX(Tableau7[Quantite], MATCH(1, (Tableau7[Num Bon de Commande]=Tableau3[[#This Row],[Num Commande]]) * (Tableau7[Num Article]=Tableau3[[#This Row],[Num Article]]), 0)), "")</f>
        <v>100</v>
      </c>
      <c r="K14" s="35" t="str">
        <f>IF(Tableau3[[#This Row],[Contrôle]]=Tableau3[[#This Row],[Quantite]],"Close","Open")</f>
        <v>Close</v>
      </c>
      <c r="L14" s="31"/>
      <c r="M14" s="31"/>
    </row>
    <row r="15" spans="1:13" x14ac:dyDescent="0.25">
      <c r="A15" s="31"/>
      <c r="B15" s="1" t="s">
        <v>191</v>
      </c>
      <c r="C15" s="7">
        <v>45767.731168981481</v>
      </c>
      <c r="D15" s="1" t="s">
        <v>28</v>
      </c>
      <c r="E15" s="1" t="s">
        <v>29</v>
      </c>
      <c r="F15" s="1">
        <v>100</v>
      </c>
      <c r="G15" s="6">
        <v>600</v>
      </c>
      <c r="H15" s="6">
        <f t="shared" si="0"/>
        <v>60000</v>
      </c>
      <c r="I15" s="1" t="s">
        <v>104</v>
      </c>
      <c r="J15" s="35">
        <f t="array" ref="J15">IFERROR(INDEX(Tableau7[Quantite], MATCH(1, (Tableau7[Num Bon de Commande]=Tableau3[[#This Row],[Num Commande]]) * (Tableau7[Num Article]=Tableau3[[#This Row],[Num Article]]), 0)), "")</f>
        <v>100</v>
      </c>
      <c r="K15" s="35" t="str">
        <f>IF(Tableau3[[#This Row],[Contrôle]]=Tableau3[[#This Row],[Quantite]],"Close","Open")</f>
        <v>Close</v>
      </c>
      <c r="L15" s="31"/>
      <c r="M15" s="31"/>
    </row>
    <row r="16" spans="1:13" x14ac:dyDescent="0.25">
      <c r="A16" s="31"/>
      <c r="B16" s="1" t="s">
        <v>191</v>
      </c>
      <c r="C16" s="7">
        <v>45767.731180555558</v>
      </c>
      <c r="D16" s="1" t="s">
        <v>140</v>
      </c>
      <c r="E16" s="1" t="s">
        <v>141</v>
      </c>
      <c r="F16" s="1">
        <v>100</v>
      </c>
      <c r="G16" s="6">
        <v>700</v>
      </c>
      <c r="H16" s="6">
        <f t="shared" si="0"/>
        <v>70000</v>
      </c>
      <c r="I16" s="1" t="s">
        <v>104</v>
      </c>
      <c r="J16" s="35">
        <f t="array" ref="J16">IFERROR(INDEX(Tableau7[Quantite], MATCH(1, (Tableau7[Num Bon de Commande]=Tableau3[[#This Row],[Num Commande]]) * (Tableau7[Num Article]=Tableau3[[#This Row],[Num Article]]), 0)), "")</f>
        <v>100</v>
      </c>
      <c r="K16" s="35" t="str">
        <f>IF(Tableau3[[#This Row],[Contrôle]]=Tableau3[[#This Row],[Quantite]],"Close","Open")</f>
        <v>Close</v>
      </c>
      <c r="L16" s="31"/>
      <c r="M16" s="31"/>
    </row>
    <row r="17" spans="1:13" x14ac:dyDescent="0.25">
      <c r="A17" s="31"/>
      <c r="B17" s="1" t="s">
        <v>191</v>
      </c>
      <c r="C17" s="7">
        <v>45767.731180555558</v>
      </c>
      <c r="D17" s="1" t="s">
        <v>144</v>
      </c>
      <c r="E17" s="1" t="s">
        <v>145</v>
      </c>
      <c r="F17" s="1">
        <v>100</v>
      </c>
      <c r="G17" s="6">
        <v>25</v>
      </c>
      <c r="H17" s="6">
        <f t="shared" si="0"/>
        <v>2500</v>
      </c>
      <c r="I17" s="1" t="s">
        <v>104</v>
      </c>
      <c r="J17" s="35">
        <f t="array" ref="J17">IFERROR(INDEX(Tableau7[Quantite], MATCH(1, (Tableau7[Num Bon de Commande]=Tableau3[[#This Row],[Num Commande]]) * (Tableau7[Num Article]=Tableau3[[#This Row],[Num Article]]), 0)), "")</f>
        <v>100</v>
      </c>
      <c r="K17" s="35" t="str">
        <f>IF(Tableau3[[#This Row],[Contrôle]]=Tableau3[[#This Row],[Quantite]],"Close","Open")</f>
        <v>Close</v>
      </c>
      <c r="L17" s="31"/>
      <c r="M17" s="31"/>
    </row>
    <row r="18" spans="1:13" x14ac:dyDescent="0.25">
      <c r="A18" s="31"/>
      <c r="B18" s="1" t="s">
        <v>191</v>
      </c>
      <c r="C18" s="7">
        <v>45767.731180555558</v>
      </c>
      <c r="D18" s="1" t="s">
        <v>166</v>
      </c>
      <c r="E18" s="1" t="s">
        <v>167</v>
      </c>
      <c r="F18" s="1">
        <v>100</v>
      </c>
      <c r="G18" s="6">
        <v>700</v>
      </c>
      <c r="H18" s="6">
        <f t="shared" si="0"/>
        <v>70000</v>
      </c>
      <c r="I18" s="1" t="s">
        <v>104</v>
      </c>
      <c r="J18" s="35">
        <f t="array" ref="J18">IFERROR(INDEX(Tableau7[Quantite], MATCH(1, (Tableau7[Num Bon de Commande]=Tableau3[[#This Row],[Num Commande]]) * (Tableau7[Num Article]=Tableau3[[#This Row],[Num Article]]), 0)), "")</f>
        <v>100</v>
      </c>
      <c r="K18" s="35" t="str">
        <f>IF(Tableau3[[#This Row],[Contrôle]]=Tableau3[[#This Row],[Quantite]],"Close","Open")</f>
        <v>Close</v>
      </c>
      <c r="L18" s="31"/>
      <c r="M18" s="31"/>
    </row>
    <row r="19" spans="1:13" x14ac:dyDescent="0.25">
      <c r="A19" s="31"/>
      <c r="B19" s="1" t="s">
        <v>224</v>
      </c>
      <c r="C19" s="7">
        <v>45768.369120370371</v>
      </c>
      <c r="D19" s="1" t="s">
        <v>24</v>
      </c>
      <c r="E19" s="1" t="s">
        <v>25</v>
      </c>
      <c r="F19" s="1">
        <v>45</v>
      </c>
      <c r="G19" s="6">
        <v>150</v>
      </c>
      <c r="H19" s="6">
        <f t="shared" ref="H19:H28" si="1">F19*G19</f>
        <v>6750</v>
      </c>
      <c r="I19" s="1" t="s">
        <v>104</v>
      </c>
      <c r="J19" s="35">
        <f t="array" ref="J19">IFERROR(INDEX(Tableau7[Quantite], MATCH(1, (Tableau7[Num Bon de Commande]=Tableau3[[#This Row],[Num Commande]]) * (Tableau7[Num Article]=Tableau3[[#This Row],[Num Article]]), 0)), "")</f>
        <v>45</v>
      </c>
      <c r="K19" s="35" t="str">
        <f>IF(Tableau3[[#This Row],[Contrôle]]=Tableau3[[#This Row],[Quantite]],"Close","Open")</f>
        <v>Close</v>
      </c>
      <c r="L19" s="31"/>
      <c r="M19" s="31"/>
    </row>
    <row r="20" spans="1:13" x14ac:dyDescent="0.25">
      <c r="A20" s="31"/>
      <c r="B20" s="1" t="s">
        <v>224</v>
      </c>
      <c r="C20" s="7">
        <v>45768.369120370371</v>
      </c>
      <c r="D20" s="1" t="s">
        <v>26</v>
      </c>
      <c r="E20" s="1" t="s">
        <v>27</v>
      </c>
      <c r="F20" s="1">
        <v>45</v>
      </c>
      <c r="G20" s="6">
        <v>1000</v>
      </c>
      <c r="H20" s="6">
        <f t="shared" si="1"/>
        <v>45000</v>
      </c>
      <c r="I20" s="1" t="s">
        <v>104</v>
      </c>
      <c r="J20" s="35">
        <f t="array" ref="J20">IFERROR(INDEX(Tableau7[Quantite], MATCH(1, (Tableau7[Num Bon de Commande]=Tableau3[[#This Row],[Num Commande]]) * (Tableau7[Num Article]=Tableau3[[#This Row],[Num Article]]), 0)), "")</f>
        <v>45</v>
      </c>
      <c r="K20" s="35" t="str">
        <f>IF(Tableau3[[#This Row],[Contrôle]]=Tableau3[[#This Row],[Quantite]],"Close","Open")</f>
        <v>Close</v>
      </c>
      <c r="L20" s="31"/>
      <c r="M20" s="31"/>
    </row>
    <row r="21" spans="1:13" x14ac:dyDescent="0.25">
      <c r="A21" s="31"/>
      <c r="B21" s="1" t="s">
        <v>241</v>
      </c>
      <c r="C21" s="7">
        <v>45773.671030092592</v>
      </c>
      <c r="D21" s="1" t="s">
        <v>26</v>
      </c>
      <c r="E21" s="1" t="s">
        <v>27</v>
      </c>
      <c r="F21" s="1">
        <v>34</v>
      </c>
      <c r="G21" s="6">
        <v>1000</v>
      </c>
      <c r="H21" s="6">
        <f t="shared" si="1"/>
        <v>34000</v>
      </c>
      <c r="I21" s="1" t="s">
        <v>108</v>
      </c>
      <c r="J21" s="35" t="str">
        <f t="array" ref="J21">IFERROR(INDEX(Tableau7[Quantite], MATCH(1, (Tableau7[Num Bon de Commande]=Tableau3[[#This Row],[Num Commande]]) * (Tableau7[Num Article]=Tableau3[[#This Row],[Num Article]]), 0)), "")</f>
        <v/>
      </c>
      <c r="K21" s="35" t="str">
        <f>IF(Tableau3[[#This Row],[Contrôle]]=Tableau3[[#This Row],[Quantite]],"Close","Open")</f>
        <v>Open</v>
      </c>
      <c r="L21" s="31"/>
      <c r="M21" s="31"/>
    </row>
    <row r="22" spans="1:13" x14ac:dyDescent="0.25">
      <c r="A22" s="31"/>
      <c r="B22" s="1" t="s">
        <v>242</v>
      </c>
      <c r="C22" s="7">
        <v>45773.715787037036</v>
      </c>
      <c r="D22" s="1" t="s">
        <v>22</v>
      </c>
      <c r="E22" s="1" t="s">
        <v>23</v>
      </c>
      <c r="F22" s="1">
        <v>300</v>
      </c>
      <c r="G22" s="6">
        <v>1000</v>
      </c>
      <c r="H22" s="6">
        <f t="shared" si="1"/>
        <v>300000</v>
      </c>
      <c r="I22" s="1" t="s">
        <v>97</v>
      </c>
      <c r="J22" s="35">
        <f t="array" ref="J22">IFERROR(INDEX(Tableau7[Quantite], MATCH(1, (Tableau7[Num Bon de Commande]=Tableau3[[#This Row],[Num Commande]]) * (Tableau7[Num Article]=Tableau3[[#This Row],[Num Article]]), 0)), "")</f>
        <v>300</v>
      </c>
      <c r="K22" s="35" t="str">
        <f>IF(Tableau3[[#This Row],[Contrôle]]=Tableau3[[#This Row],[Quantite]],"Close","Open")</f>
        <v>Close</v>
      </c>
      <c r="L22" s="31"/>
      <c r="M22" s="31"/>
    </row>
    <row r="23" spans="1:13" x14ac:dyDescent="0.25">
      <c r="A23" s="31"/>
      <c r="B23" s="1" t="s">
        <v>242</v>
      </c>
      <c r="C23" s="7">
        <v>45773.715787037036</v>
      </c>
      <c r="D23" s="1" t="s">
        <v>24</v>
      </c>
      <c r="E23" s="1" t="s">
        <v>25</v>
      </c>
      <c r="F23" s="1">
        <v>300</v>
      </c>
      <c r="G23" s="6">
        <v>150</v>
      </c>
      <c r="H23" s="6">
        <f t="shared" si="1"/>
        <v>45000</v>
      </c>
      <c r="I23" s="1" t="s">
        <v>97</v>
      </c>
      <c r="J23" s="35">
        <f t="array" ref="J23">IFERROR(INDEX(Tableau7[Quantite], MATCH(1, (Tableau7[Num Bon de Commande]=Tableau3[[#This Row],[Num Commande]]) * (Tableau7[Num Article]=Tableau3[[#This Row],[Num Article]]), 0)), "")</f>
        <v>300</v>
      </c>
      <c r="K23" s="35" t="str">
        <f>IF(Tableau3[[#This Row],[Contrôle]]=Tableau3[[#This Row],[Quantite]],"Close","Open")</f>
        <v>Close</v>
      </c>
      <c r="L23" s="31"/>
      <c r="M23" s="31"/>
    </row>
    <row r="24" spans="1:13" x14ac:dyDescent="0.25">
      <c r="A24" s="31"/>
      <c r="B24" s="1" t="s">
        <v>242</v>
      </c>
      <c r="C24" s="7">
        <v>45773.715798611112</v>
      </c>
      <c r="D24" s="1" t="s">
        <v>26</v>
      </c>
      <c r="E24" s="1" t="s">
        <v>27</v>
      </c>
      <c r="F24" s="1">
        <v>300</v>
      </c>
      <c r="G24" s="6">
        <v>1000</v>
      </c>
      <c r="H24" s="6">
        <f t="shared" si="1"/>
        <v>300000</v>
      </c>
      <c r="I24" s="1" t="s">
        <v>97</v>
      </c>
      <c r="J24" s="35">
        <f t="array" ref="J24">IFERROR(INDEX(Tableau7[Quantite], MATCH(1, (Tableau7[Num Bon de Commande]=Tableau3[[#This Row],[Num Commande]]) * (Tableau7[Num Article]=Tableau3[[#This Row],[Num Article]]), 0)), "")</f>
        <v>300</v>
      </c>
      <c r="K24" s="35" t="str">
        <f>IF(Tableau3[[#This Row],[Contrôle]]=Tableau3[[#This Row],[Quantite]],"Close","Open")</f>
        <v>Close</v>
      </c>
      <c r="L24" s="31"/>
      <c r="M24" s="31"/>
    </row>
    <row r="25" spans="1:13" x14ac:dyDescent="0.25">
      <c r="A25" s="31"/>
      <c r="B25" s="1" t="s">
        <v>242</v>
      </c>
      <c r="C25" s="7">
        <v>45773.715798611112</v>
      </c>
      <c r="D25" s="1" t="s">
        <v>28</v>
      </c>
      <c r="E25" s="1" t="s">
        <v>29</v>
      </c>
      <c r="F25" s="1">
        <v>300</v>
      </c>
      <c r="G25" s="6">
        <v>600</v>
      </c>
      <c r="H25" s="6">
        <f t="shared" si="1"/>
        <v>180000</v>
      </c>
      <c r="I25" s="1" t="s">
        <v>97</v>
      </c>
      <c r="J25" s="35">
        <f t="array" ref="J25">IFERROR(INDEX(Tableau7[Quantite], MATCH(1, (Tableau7[Num Bon de Commande]=Tableau3[[#This Row],[Num Commande]]) * (Tableau7[Num Article]=Tableau3[[#This Row],[Num Article]]), 0)), "")</f>
        <v>300</v>
      </c>
      <c r="K25" s="35" t="str">
        <f>IF(Tableau3[[#This Row],[Contrôle]]=Tableau3[[#This Row],[Quantite]],"Close","Open")</f>
        <v>Close</v>
      </c>
      <c r="L25" s="31"/>
      <c r="M25" s="31"/>
    </row>
    <row r="26" spans="1:13" x14ac:dyDescent="0.25">
      <c r="A26" s="31"/>
      <c r="B26" s="1" t="s">
        <v>242</v>
      </c>
      <c r="C26" s="7">
        <v>45773.715798611112</v>
      </c>
      <c r="D26" s="1" t="s">
        <v>140</v>
      </c>
      <c r="E26" s="1" t="s">
        <v>141</v>
      </c>
      <c r="F26" s="1">
        <v>300</v>
      </c>
      <c r="G26" s="6">
        <v>700</v>
      </c>
      <c r="H26" s="6">
        <f t="shared" si="1"/>
        <v>210000</v>
      </c>
      <c r="I26" s="1" t="s">
        <v>97</v>
      </c>
      <c r="J26" s="35">
        <f t="array" ref="J26">IFERROR(INDEX(Tableau7[Quantite], MATCH(1, (Tableau7[Num Bon de Commande]=Tableau3[[#This Row],[Num Commande]]) * (Tableau7[Num Article]=Tableau3[[#This Row],[Num Article]]), 0)), "")</f>
        <v>300</v>
      </c>
      <c r="K26" s="35" t="str">
        <f>IF(Tableau3[[#This Row],[Contrôle]]=Tableau3[[#This Row],[Quantite]],"Close","Open")</f>
        <v>Close</v>
      </c>
      <c r="L26" s="31"/>
      <c r="M26" s="31"/>
    </row>
    <row r="27" spans="1:13" x14ac:dyDescent="0.25">
      <c r="A27" s="31"/>
      <c r="B27" s="1" t="s">
        <v>242</v>
      </c>
      <c r="C27" s="7">
        <v>45773.715810185182</v>
      </c>
      <c r="D27" s="1" t="s">
        <v>144</v>
      </c>
      <c r="E27" s="1" t="s">
        <v>145</v>
      </c>
      <c r="F27" s="1">
        <v>300</v>
      </c>
      <c r="G27" s="6">
        <v>25</v>
      </c>
      <c r="H27" s="6">
        <f t="shared" si="1"/>
        <v>7500</v>
      </c>
      <c r="I27" s="1" t="s">
        <v>97</v>
      </c>
      <c r="J27" s="35">
        <f t="array" ref="J27">IFERROR(INDEX(Tableau7[Quantite], MATCH(1, (Tableau7[Num Bon de Commande]=Tableau3[[#This Row],[Num Commande]]) * (Tableau7[Num Article]=Tableau3[[#This Row],[Num Article]]), 0)), "")</f>
        <v>300</v>
      </c>
      <c r="K27" s="35" t="str">
        <f>IF(Tableau3[[#This Row],[Contrôle]]=Tableau3[[#This Row],[Quantite]],"Close","Open")</f>
        <v>Close</v>
      </c>
      <c r="L27" s="31"/>
      <c r="M27" s="31"/>
    </row>
    <row r="28" spans="1:13" x14ac:dyDescent="0.25">
      <c r="A28" s="31"/>
      <c r="B28" s="1" t="s">
        <v>242</v>
      </c>
      <c r="C28" s="7">
        <v>45773.715810185182</v>
      </c>
      <c r="D28" s="1" t="s">
        <v>166</v>
      </c>
      <c r="E28" s="1" t="s">
        <v>167</v>
      </c>
      <c r="F28" s="1">
        <v>300</v>
      </c>
      <c r="G28" s="6">
        <v>700</v>
      </c>
      <c r="H28" s="6">
        <f t="shared" si="1"/>
        <v>210000</v>
      </c>
      <c r="I28" s="1" t="s">
        <v>97</v>
      </c>
      <c r="J28" s="35">
        <f t="array" ref="J28">IFERROR(INDEX(Tableau7[Quantite], MATCH(1, (Tableau7[Num Bon de Commande]=Tableau3[[#This Row],[Num Commande]]) * (Tableau7[Num Article]=Tableau3[[#This Row],[Num Article]]), 0)), "")</f>
        <v>300</v>
      </c>
      <c r="K28" s="35" t="str">
        <f>IF(Tableau3[[#This Row],[Contrôle]]=Tableau3[[#This Row],[Quantite]],"Close","Open")</f>
        <v>Close</v>
      </c>
      <c r="L28" s="31"/>
      <c r="M28" s="31"/>
    </row>
    <row r="29" spans="1:13" x14ac:dyDescent="0.25">
      <c r="A29" s="31"/>
      <c r="B29" s="1" t="s">
        <v>295</v>
      </c>
      <c r="C29" s="7">
        <v>45777.443518518521</v>
      </c>
      <c r="D29" s="1" t="s">
        <v>284</v>
      </c>
      <c r="E29" s="1" t="s">
        <v>285</v>
      </c>
      <c r="F29" s="1">
        <v>200</v>
      </c>
      <c r="G29" s="6">
        <v>1500000</v>
      </c>
      <c r="H29" s="6">
        <f t="shared" ref="H29:H36" si="2">F29*G29</f>
        <v>300000000</v>
      </c>
      <c r="I29" s="1" t="s">
        <v>108</v>
      </c>
      <c r="J29" s="35">
        <f t="array" ref="J29">IFERROR(INDEX(Tableau7[Quantite], MATCH(1, (Tableau7[Num Bon de Commande]=Tableau3[[#This Row],[Num Commande]]) * (Tableau7[Num Article]=Tableau3[[#This Row],[Num Article]]), 0)), "")</f>
        <v>200</v>
      </c>
      <c r="K29" s="35" t="str">
        <f>IF(Tableau3[[#This Row],[Contrôle]]=Tableau3[[#This Row],[Quantite]],"Close","Open")</f>
        <v>Close</v>
      </c>
      <c r="L29" s="31"/>
      <c r="M29" s="31"/>
    </row>
    <row r="30" spans="1:13" x14ac:dyDescent="0.25">
      <c r="A30" s="31"/>
      <c r="B30" s="1" t="s">
        <v>295</v>
      </c>
      <c r="C30" s="7">
        <v>45777.443530092591</v>
      </c>
      <c r="D30" s="1" t="s">
        <v>282</v>
      </c>
      <c r="E30" s="1" t="s">
        <v>283</v>
      </c>
      <c r="F30" s="1">
        <v>200</v>
      </c>
      <c r="G30" s="6">
        <v>600</v>
      </c>
      <c r="H30" s="6">
        <f t="shared" si="2"/>
        <v>120000</v>
      </c>
      <c r="I30" s="1" t="s">
        <v>108</v>
      </c>
      <c r="J30" s="35">
        <f t="array" ref="J30">IFERROR(INDEX(Tableau7[Quantite], MATCH(1, (Tableau7[Num Bon de Commande]=Tableau3[[#This Row],[Num Commande]]) * (Tableau7[Num Article]=Tableau3[[#This Row],[Num Article]]), 0)), "")</f>
        <v>200</v>
      </c>
      <c r="K30" s="35" t="str">
        <f>IF(Tableau3[[#This Row],[Contrôle]]=Tableau3[[#This Row],[Quantite]],"Close","Open")</f>
        <v>Close</v>
      </c>
      <c r="L30" s="31"/>
      <c r="M30" s="31"/>
    </row>
    <row r="31" spans="1:13" x14ac:dyDescent="0.25">
      <c r="A31" s="31"/>
      <c r="B31" s="1" t="s">
        <v>295</v>
      </c>
      <c r="C31" s="7">
        <v>45777.443530092591</v>
      </c>
      <c r="D31" s="1" t="s">
        <v>280</v>
      </c>
      <c r="E31" s="1" t="s">
        <v>281</v>
      </c>
      <c r="F31" s="1">
        <v>200</v>
      </c>
      <c r="G31" s="6">
        <v>150000</v>
      </c>
      <c r="H31" s="6">
        <f t="shared" si="2"/>
        <v>30000000</v>
      </c>
      <c r="I31" s="1" t="s">
        <v>108</v>
      </c>
      <c r="J31" s="35">
        <f t="array" ref="J31">IFERROR(INDEX(Tableau7[Quantite], MATCH(1, (Tableau7[Num Bon de Commande]=Tableau3[[#This Row],[Num Commande]]) * (Tableau7[Num Article]=Tableau3[[#This Row],[Num Article]]), 0)), "")</f>
        <v>200</v>
      </c>
      <c r="K31" s="35" t="str">
        <f>IF(Tableau3[[#This Row],[Contrôle]]=Tableau3[[#This Row],[Quantite]],"Close","Open")</f>
        <v>Close</v>
      </c>
      <c r="L31" s="31"/>
      <c r="M31" s="31"/>
    </row>
    <row r="32" spans="1:13" x14ac:dyDescent="0.25">
      <c r="A32" s="31"/>
      <c r="B32" s="1" t="s">
        <v>295</v>
      </c>
      <c r="C32" s="7">
        <v>45777.443530092591</v>
      </c>
      <c r="D32" s="1" t="s">
        <v>278</v>
      </c>
      <c r="E32" s="1" t="s">
        <v>279</v>
      </c>
      <c r="F32" s="1">
        <v>200</v>
      </c>
      <c r="G32" s="6">
        <v>450000</v>
      </c>
      <c r="H32" s="6">
        <f t="shared" si="2"/>
        <v>90000000</v>
      </c>
      <c r="I32" s="1" t="s">
        <v>108</v>
      </c>
      <c r="J32" s="35">
        <f t="array" ref="J32">IFERROR(INDEX(Tableau7[Quantite], MATCH(1, (Tableau7[Num Bon de Commande]=Tableau3[[#This Row],[Num Commande]]) * (Tableau7[Num Article]=Tableau3[[#This Row],[Num Article]]), 0)), "")</f>
        <v>200</v>
      </c>
      <c r="K32" s="35" t="str">
        <f>IF(Tableau3[[#This Row],[Contrôle]]=Tableau3[[#This Row],[Quantite]],"Close","Open")</f>
        <v>Close</v>
      </c>
      <c r="L32" s="31"/>
      <c r="M32" s="31"/>
    </row>
    <row r="33" spans="1:13" x14ac:dyDescent="0.25">
      <c r="A33" s="31"/>
      <c r="B33" s="1" t="s">
        <v>316</v>
      </c>
      <c r="C33" s="7">
        <v>45784.429629629631</v>
      </c>
      <c r="D33" s="1" t="s">
        <v>28</v>
      </c>
      <c r="E33" s="1" t="s">
        <v>29</v>
      </c>
      <c r="F33" s="1">
        <v>34</v>
      </c>
      <c r="G33" s="6">
        <v>600</v>
      </c>
      <c r="H33" s="6">
        <f t="shared" si="2"/>
        <v>20400</v>
      </c>
      <c r="I33" s="1" t="s">
        <v>112</v>
      </c>
      <c r="J33" s="35" t="str">
        <f t="array" ref="J33">IFERROR(INDEX(Tableau7[Quantite], MATCH(1, (Tableau7[Num Bon de Commande]=Tableau3[[#This Row],[Num Commande]]) * (Tableau7[Num Article]=Tableau3[[#This Row],[Num Article]]), 0)), "")</f>
        <v/>
      </c>
      <c r="K33" s="35" t="str">
        <f>IF(Tableau3[[#This Row],[Contrôle]]=Tableau3[[#This Row],[Quantite]],"Close","Open")</f>
        <v>Open</v>
      </c>
      <c r="L33" s="31"/>
      <c r="M33" s="31"/>
    </row>
    <row r="34" spans="1:13" x14ac:dyDescent="0.25">
      <c r="A34" s="31"/>
      <c r="B34" s="1" t="s">
        <v>317</v>
      </c>
      <c r="C34" s="7">
        <v>45784.430092592593</v>
      </c>
      <c r="D34" s="1" t="s">
        <v>276</v>
      </c>
      <c r="E34" s="1" t="s">
        <v>277</v>
      </c>
      <c r="F34" s="1">
        <v>300</v>
      </c>
      <c r="G34" s="6">
        <v>500000</v>
      </c>
      <c r="H34" s="6">
        <f t="shared" si="2"/>
        <v>150000000</v>
      </c>
      <c r="I34" s="1" t="s">
        <v>97</v>
      </c>
      <c r="J34" s="35" t="str">
        <f t="array" ref="J34">IFERROR(INDEX(Tableau7[Quantite], MATCH(1, (Tableau7[Num Bon de Commande]=Tableau3[[#This Row],[Num Commande]]) * (Tableau7[Num Article]=Tableau3[[#This Row],[Num Article]]), 0)), "")</f>
        <v/>
      </c>
      <c r="K34" s="35" t="str">
        <f>IF(Tableau3[[#This Row],[Contrôle]]=Tableau3[[#This Row],[Quantite]],"Close","Open")</f>
        <v>Open</v>
      </c>
      <c r="L34" s="31"/>
      <c r="M34" s="31"/>
    </row>
    <row r="35" spans="1:13" x14ac:dyDescent="0.25">
      <c r="A35" s="31"/>
      <c r="B35" s="1" t="s">
        <v>318</v>
      </c>
      <c r="C35" s="7">
        <v>45784.43204861111</v>
      </c>
      <c r="D35" s="1" t="s">
        <v>276</v>
      </c>
      <c r="E35" s="1" t="s">
        <v>277</v>
      </c>
      <c r="F35" s="1">
        <v>200</v>
      </c>
      <c r="G35" s="6">
        <v>500000</v>
      </c>
      <c r="H35" s="6">
        <f t="shared" si="2"/>
        <v>100000000</v>
      </c>
      <c r="I35" s="1" t="s">
        <v>119</v>
      </c>
      <c r="J35" s="35">
        <f t="array" ref="J35">IFERROR(INDEX(Tableau7[Quantite], MATCH(1, (Tableau7[Num Bon de Commande]=Tableau3[[#This Row],[Num Commande]]) * (Tableau7[Num Article]=Tableau3[[#This Row],[Num Article]]), 0)), "")</f>
        <v>300</v>
      </c>
      <c r="K35" s="35" t="str">
        <f>IF(Tableau3[[#This Row],[Contrôle]]=Tableau3[[#This Row],[Quantite]],"Close","Open")</f>
        <v>Open</v>
      </c>
      <c r="L35" s="31"/>
      <c r="M35" s="31"/>
    </row>
    <row r="36" spans="1:13" x14ac:dyDescent="0.25">
      <c r="A36" s="31"/>
      <c r="B36" s="1" t="s">
        <v>321</v>
      </c>
      <c r="C36" s="7">
        <v>45784.464247685188</v>
      </c>
      <c r="D36" s="1" t="s">
        <v>276</v>
      </c>
      <c r="E36" s="1" t="s">
        <v>277</v>
      </c>
      <c r="F36" s="1">
        <v>200</v>
      </c>
      <c r="G36" s="6">
        <v>500000</v>
      </c>
      <c r="H36" s="6">
        <f t="shared" si="2"/>
        <v>100000000</v>
      </c>
      <c r="I36" s="1" t="s">
        <v>119</v>
      </c>
      <c r="J36" s="35">
        <f t="array" ref="J36">IFERROR(INDEX(Tableau7[Quantite], MATCH(1, (Tableau7[Num Bon de Commande]=Tableau3[[#This Row],[Num Commande]]) * (Tableau7[Num Article]=Tableau3[[#This Row],[Num Article]]), 0)), "")</f>
        <v>200</v>
      </c>
      <c r="K36" s="35" t="str">
        <f>IF(Tableau3[[#This Row],[Contrôle]]=Tableau3[[#This Row],[Quantite]],"Close","Open")</f>
        <v>Close</v>
      </c>
      <c r="L36" s="31"/>
      <c r="M36" s="31"/>
    </row>
    <row r="37" spans="1:13" x14ac:dyDescent="0.25">
      <c r="A37" s="31"/>
      <c r="B37" s="1" t="s">
        <v>447</v>
      </c>
      <c r="C37" s="7">
        <v>45799.450706018521</v>
      </c>
      <c r="D37" s="1" t="s">
        <v>282</v>
      </c>
      <c r="E37" s="1" t="s">
        <v>283</v>
      </c>
      <c r="F37" s="1">
        <v>100</v>
      </c>
      <c r="G37" s="6">
        <v>600</v>
      </c>
      <c r="H37" s="6">
        <f t="shared" ref="H37:H55" si="3">F37*G37</f>
        <v>60000</v>
      </c>
      <c r="I37" s="1" t="s">
        <v>255</v>
      </c>
      <c r="J37" s="35">
        <f t="array" ref="J37">IFERROR(INDEX(Tableau7[Quantite], MATCH(1, (Tableau7[Num Bon de Commande]=Tableau3[[#This Row],[Num Commande]]) * (Tableau7[Num Article]=Tableau3[[#This Row],[Num Article]]), 0)), "")</f>
        <v>100</v>
      </c>
      <c r="K37" s="35" t="str">
        <f>IF(Tableau3[[#This Row],[Contrôle]]=Tableau3[[#This Row],[Quantite]],"Close","Open")</f>
        <v>Close</v>
      </c>
      <c r="L37" s="31"/>
      <c r="M37" s="31"/>
    </row>
    <row r="38" spans="1:13" x14ac:dyDescent="0.25">
      <c r="A38" s="31"/>
      <c r="B38" s="1" t="s">
        <v>447</v>
      </c>
      <c r="C38" s="7">
        <v>45799.450706018521</v>
      </c>
      <c r="D38" s="1" t="s">
        <v>284</v>
      </c>
      <c r="E38" s="1" t="s">
        <v>285</v>
      </c>
      <c r="F38" s="1">
        <v>100</v>
      </c>
      <c r="G38" s="6">
        <v>1500000</v>
      </c>
      <c r="H38" s="6">
        <f t="shared" si="3"/>
        <v>150000000</v>
      </c>
      <c r="I38" s="1" t="s">
        <v>255</v>
      </c>
      <c r="J38" s="35">
        <f t="array" ref="J38">IFERROR(INDEX(Tableau7[Quantite], MATCH(1, (Tableau7[Num Bon de Commande]=Tableau3[[#This Row],[Num Commande]]) * (Tableau7[Num Article]=Tableau3[[#This Row],[Num Article]]), 0)), "")</f>
        <v>100</v>
      </c>
      <c r="K38" s="35" t="str">
        <f>IF(Tableau3[[#This Row],[Contrôle]]=Tableau3[[#This Row],[Quantite]],"Close","Open")</f>
        <v>Close</v>
      </c>
      <c r="L38" s="31"/>
      <c r="M38" s="31"/>
    </row>
    <row r="39" spans="1:13" x14ac:dyDescent="0.25">
      <c r="A39" s="31"/>
      <c r="B39" s="1" t="s">
        <v>447</v>
      </c>
      <c r="C39" s="7">
        <v>45799.45071759259</v>
      </c>
      <c r="D39" s="1" t="s">
        <v>372</v>
      </c>
      <c r="E39" s="1" t="s">
        <v>373</v>
      </c>
      <c r="F39" s="1">
        <v>100</v>
      </c>
      <c r="G39" s="6">
        <v>500</v>
      </c>
      <c r="H39" s="6">
        <f t="shared" si="3"/>
        <v>50000</v>
      </c>
      <c r="I39" s="1" t="s">
        <v>255</v>
      </c>
      <c r="J39" s="35">
        <f t="array" ref="J39">IFERROR(INDEX(Tableau7[Quantite], MATCH(1, (Tableau7[Num Bon de Commande]=Tableau3[[#This Row],[Num Commande]]) * (Tableau7[Num Article]=Tableau3[[#This Row],[Num Article]]), 0)), "")</f>
        <v>100</v>
      </c>
      <c r="K39" s="35" t="str">
        <f>IF(Tableau3[[#This Row],[Contrôle]]=Tableau3[[#This Row],[Quantite]],"Close","Open")</f>
        <v>Close</v>
      </c>
      <c r="L39" s="31"/>
      <c r="M39" s="31"/>
    </row>
    <row r="40" spans="1:13" x14ac:dyDescent="0.25">
      <c r="A40" s="31"/>
      <c r="B40" s="1" t="s">
        <v>447</v>
      </c>
      <c r="C40" s="7">
        <v>45799.45071759259</v>
      </c>
      <c r="D40" s="1" t="s">
        <v>381</v>
      </c>
      <c r="E40" s="1" t="s">
        <v>382</v>
      </c>
      <c r="F40" s="1">
        <v>100</v>
      </c>
      <c r="G40" s="6">
        <v>1000</v>
      </c>
      <c r="H40" s="6">
        <f t="shared" si="3"/>
        <v>100000</v>
      </c>
      <c r="I40" s="1" t="s">
        <v>255</v>
      </c>
      <c r="J40" s="35">
        <f t="array" ref="J40">IFERROR(INDEX(Tableau7[Quantite], MATCH(1, (Tableau7[Num Bon de Commande]=Tableau3[[#This Row],[Num Commande]]) * (Tableau7[Num Article]=Tableau3[[#This Row],[Num Article]]), 0)), "")</f>
        <v>100</v>
      </c>
      <c r="K40" s="35" t="str">
        <f>IF(Tableau3[[#This Row],[Contrôle]]=Tableau3[[#This Row],[Quantite]],"Close","Open")</f>
        <v>Close</v>
      </c>
      <c r="L40" s="31"/>
      <c r="M40" s="31"/>
    </row>
    <row r="41" spans="1:13" x14ac:dyDescent="0.25">
      <c r="A41" s="31"/>
      <c r="B41" s="1" t="s">
        <v>447</v>
      </c>
      <c r="C41" s="7">
        <v>45799.45071759259</v>
      </c>
      <c r="D41" s="1" t="s">
        <v>386</v>
      </c>
      <c r="E41" s="1" t="s">
        <v>387</v>
      </c>
      <c r="F41" s="1">
        <v>100</v>
      </c>
      <c r="G41" s="6">
        <v>1400</v>
      </c>
      <c r="H41" s="6">
        <f t="shared" si="3"/>
        <v>140000</v>
      </c>
      <c r="I41" s="1" t="s">
        <v>255</v>
      </c>
      <c r="J41" s="35">
        <f t="array" ref="J41">IFERROR(INDEX(Tableau7[Quantite], MATCH(1, (Tableau7[Num Bon de Commande]=Tableau3[[#This Row],[Num Commande]]) * (Tableau7[Num Article]=Tableau3[[#This Row],[Num Article]]), 0)), "")</f>
        <v>100</v>
      </c>
      <c r="K41" s="35" t="str">
        <f>IF(Tableau3[[#This Row],[Contrôle]]=Tableau3[[#This Row],[Quantite]],"Close","Open")</f>
        <v>Close</v>
      </c>
      <c r="L41" s="31"/>
      <c r="M41" s="31"/>
    </row>
    <row r="42" spans="1:13" x14ac:dyDescent="0.25">
      <c r="A42" s="31"/>
      <c r="B42" s="1" t="s">
        <v>447</v>
      </c>
      <c r="C42" s="7">
        <v>45799.45071759259</v>
      </c>
      <c r="D42" s="1" t="s">
        <v>388</v>
      </c>
      <c r="E42" s="1" t="s">
        <v>389</v>
      </c>
      <c r="F42" s="1">
        <v>100</v>
      </c>
      <c r="G42" s="6">
        <v>800</v>
      </c>
      <c r="H42" s="6">
        <f t="shared" si="3"/>
        <v>80000</v>
      </c>
      <c r="I42" s="1" t="s">
        <v>255</v>
      </c>
      <c r="J42" s="35">
        <f t="array" ref="J42">IFERROR(INDEX(Tableau7[Quantite], MATCH(1, (Tableau7[Num Bon de Commande]=Tableau3[[#This Row],[Num Commande]]) * (Tableau7[Num Article]=Tableau3[[#This Row],[Num Article]]), 0)), "")</f>
        <v>100</v>
      </c>
      <c r="K42" s="35" t="str">
        <f>IF(Tableau3[[#This Row],[Contrôle]]=Tableau3[[#This Row],[Quantite]],"Close","Open")</f>
        <v>Close</v>
      </c>
      <c r="L42" s="31"/>
      <c r="M42" s="31"/>
    </row>
    <row r="43" spans="1:13" x14ac:dyDescent="0.25">
      <c r="A43" s="31"/>
      <c r="B43" s="1" t="s">
        <v>447</v>
      </c>
      <c r="C43" s="7">
        <v>45799.450729166667</v>
      </c>
      <c r="D43" s="1" t="s">
        <v>394</v>
      </c>
      <c r="E43" s="1" t="s">
        <v>395</v>
      </c>
      <c r="F43" s="1">
        <v>100</v>
      </c>
      <c r="G43" s="6">
        <v>500</v>
      </c>
      <c r="H43" s="6">
        <f t="shared" si="3"/>
        <v>50000</v>
      </c>
      <c r="I43" s="1" t="s">
        <v>255</v>
      </c>
      <c r="J43" s="35">
        <f t="array" ref="J43">IFERROR(INDEX(Tableau7[Quantite], MATCH(1, (Tableau7[Num Bon de Commande]=Tableau3[[#This Row],[Num Commande]]) * (Tableau7[Num Article]=Tableau3[[#This Row],[Num Article]]), 0)), "")</f>
        <v>100</v>
      </c>
      <c r="K43" s="35" t="str">
        <f>IF(Tableau3[[#This Row],[Contrôle]]=Tableau3[[#This Row],[Quantite]],"Close","Open")</f>
        <v>Close</v>
      </c>
      <c r="L43" s="31"/>
      <c r="M43" s="31"/>
    </row>
    <row r="44" spans="1:13" x14ac:dyDescent="0.25">
      <c r="A44" s="31"/>
      <c r="B44" s="1" t="s">
        <v>447</v>
      </c>
      <c r="C44" s="7">
        <v>45799.450729166667</v>
      </c>
      <c r="D44" s="1" t="s">
        <v>396</v>
      </c>
      <c r="E44" s="1" t="s">
        <v>397</v>
      </c>
      <c r="F44" s="1">
        <v>100</v>
      </c>
      <c r="G44" s="6">
        <v>2000</v>
      </c>
      <c r="H44" s="6">
        <f t="shared" si="3"/>
        <v>200000</v>
      </c>
      <c r="I44" s="1" t="s">
        <v>255</v>
      </c>
      <c r="J44" s="35">
        <f t="array" ref="J44">IFERROR(INDEX(Tableau7[Quantite], MATCH(1, (Tableau7[Num Bon de Commande]=Tableau3[[#This Row],[Num Commande]]) * (Tableau7[Num Article]=Tableau3[[#This Row],[Num Article]]), 0)), "")</f>
        <v>100</v>
      </c>
      <c r="K44" s="35" t="str">
        <f>IF(Tableau3[[#This Row],[Contrôle]]=Tableau3[[#This Row],[Quantite]],"Close","Open")</f>
        <v>Close</v>
      </c>
      <c r="L44" s="31"/>
      <c r="M44" s="31"/>
    </row>
    <row r="45" spans="1:13" x14ac:dyDescent="0.25">
      <c r="A45" s="31"/>
      <c r="B45" s="1" t="s">
        <v>447</v>
      </c>
      <c r="C45" s="7">
        <v>45799.450729166667</v>
      </c>
      <c r="D45" s="1" t="s">
        <v>398</v>
      </c>
      <c r="E45" s="1" t="s">
        <v>399</v>
      </c>
      <c r="F45" s="1">
        <v>100</v>
      </c>
      <c r="G45" s="6">
        <v>4000</v>
      </c>
      <c r="H45" s="6">
        <f t="shared" si="3"/>
        <v>400000</v>
      </c>
      <c r="I45" s="1" t="s">
        <v>255</v>
      </c>
      <c r="J45" s="35">
        <f t="array" ref="J45">IFERROR(INDEX(Tableau7[Quantite], MATCH(1, (Tableau7[Num Bon de Commande]=Tableau3[[#This Row],[Num Commande]]) * (Tableau7[Num Article]=Tableau3[[#This Row],[Num Article]]), 0)), "")</f>
        <v>100</v>
      </c>
      <c r="K45" s="35" t="str">
        <f>IF(Tableau3[[#This Row],[Contrôle]]=Tableau3[[#This Row],[Quantite]],"Close","Open")</f>
        <v>Close</v>
      </c>
      <c r="L45" s="31"/>
      <c r="M45" s="31"/>
    </row>
    <row r="46" spans="1:13" x14ac:dyDescent="0.25">
      <c r="A46" s="31"/>
      <c r="B46" s="1" t="s">
        <v>447</v>
      </c>
      <c r="C46" s="7">
        <v>45799.450740740744</v>
      </c>
      <c r="D46" s="1" t="s">
        <v>400</v>
      </c>
      <c r="E46" s="1" t="s">
        <v>401</v>
      </c>
      <c r="F46" s="1">
        <v>100</v>
      </c>
      <c r="G46" s="6">
        <v>3900</v>
      </c>
      <c r="H46" s="6">
        <f t="shared" si="3"/>
        <v>390000</v>
      </c>
      <c r="I46" s="1" t="s">
        <v>255</v>
      </c>
      <c r="J46" s="35">
        <f t="array" ref="J46">IFERROR(INDEX(Tableau7[Quantite], MATCH(1, (Tableau7[Num Bon de Commande]=Tableau3[[#This Row],[Num Commande]]) * (Tableau7[Num Article]=Tableau3[[#This Row],[Num Article]]), 0)), "")</f>
        <v>100</v>
      </c>
      <c r="K46" s="35" t="str">
        <f>IF(Tableau3[[#This Row],[Contrôle]]=Tableau3[[#This Row],[Quantite]],"Close","Open")</f>
        <v>Close</v>
      </c>
      <c r="L46" s="31"/>
      <c r="M46" s="31"/>
    </row>
    <row r="47" spans="1:13" x14ac:dyDescent="0.25">
      <c r="A47" s="31"/>
      <c r="B47" s="1" t="s">
        <v>447</v>
      </c>
      <c r="C47" s="7">
        <v>45799.450740740744</v>
      </c>
      <c r="D47" s="1" t="s">
        <v>414</v>
      </c>
      <c r="E47" s="1" t="s">
        <v>415</v>
      </c>
      <c r="F47" s="1">
        <v>100</v>
      </c>
      <c r="G47" s="6">
        <v>2000</v>
      </c>
      <c r="H47" s="6">
        <f t="shared" si="3"/>
        <v>200000</v>
      </c>
      <c r="I47" s="1" t="s">
        <v>255</v>
      </c>
      <c r="J47" s="35">
        <f t="array" ref="J47">IFERROR(INDEX(Tableau7[Quantite], MATCH(1, (Tableau7[Num Bon de Commande]=Tableau3[[#This Row],[Num Commande]]) * (Tableau7[Num Article]=Tableau3[[#This Row],[Num Article]]), 0)), "")</f>
        <v>100</v>
      </c>
      <c r="K47" s="35" t="str">
        <f>IF(Tableau3[[#This Row],[Contrôle]]=Tableau3[[#This Row],[Quantite]],"Close","Open")</f>
        <v>Close</v>
      </c>
      <c r="L47" s="31"/>
      <c r="M47" s="31"/>
    </row>
    <row r="48" spans="1:13" x14ac:dyDescent="0.25">
      <c r="A48" s="31"/>
      <c r="B48" s="1" t="s">
        <v>447</v>
      </c>
      <c r="C48" s="7">
        <v>45799.450740740744</v>
      </c>
      <c r="D48" s="1" t="s">
        <v>420</v>
      </c>
      <c r="E48" s="1" t="s">
        <v>421</v>
      </c>
      <c r="F48" s="1">
        <v>100</v>
      </c>
      <c r="G48" s="6">
        <v>300000</v>
      </c>
      <c r="H48" s="6">
        <f t="shared" si="3"/>
        <v>30000000</v>
      </c>
      <c r="I48" s="1" t="s">
        <v>255</v>
      </c>
      <c r="J48" s="35">
        <f t="array" ref="J48">IFERROR(INDEX(Tableau7[Quantite], MATCH(1, (Tableau7[Num Bon de Commande]=Tableau3[[#This Row],[Num Commande]]) * (Tableau7[Num Article]=Tableau3[[#This Row],[Num Article]]), 0)), "")</f>
        <v>100</v>
      </c>
      <c r="K48" s="35" t="str">
        <f>IF(Tableau3[[#This Row],[Contrôle]]=Tableau3[[#This Row],[Quantite]],"Close","Open")</f>
        <v>Close</v>
      </c>
      <c r="L48" s="31"/>
      <c r="M48" s="31"/>
    </row>
    <row r="49" spans="1:13" x14ac:dyDescent="0.25">
      <c r="A49" s="31"/>
      <c r="B49" s="1" t="s">
        <v>447</v>
      </c>
      <c r="C49" s="7">
        <v>45799.450740740744</v>
      </c>
      <c r="D49" s="1" t="s">
        <v>422</v>
      </c>
      <c r="E49" s="1" t="s">
        <v>423</v>
      </c>
      <c r="F49" s="1">
        <v>100</v>
      </c>
      <c r="G49" s="6">
        <v>3000</v>
      </c>
      <c r="H49" s="6">
        <f t="shared" si="3"/>
        <v>300000</v>
      </c>
      <c r="I49" s="1" t="s">
        <v>255</v>
      </c>
      <c r="J49" s="35">
        <f t="array" ref="J49">IFERROR(INDEX(Tableau7[Quantite], MATCH(1, (Tableau7[Num Bon de Commande]=Tableau3[[#This Row],[Num Commande]]) * (Tableau7[Num Article]=Tableau3[[#This Row],[Num Article]]), 0)), "")</f>
        <v>100</v>
      </c>
      <c r="K49" s="35" t="str">
        <f>IF(Tableau3[[#This Row],[Contrôle]]=Tableau3[[#This Row],[Quantite]],"Close","Open")</f>
        <v>Close</v>
      </c>
      <c r="L49" s="31"/>
      <c r="M49" s="31"/>
    </row>
    <row r="50" spans="1:13" x14ac:dyDescent="0.25">
      <c r="A50" s="31"/>
      <c r="B50" s="1" t="s">
        <v>447</v>
      </c>
      <c r="C50" s="7">
        <v>45799.450752314813</v>
      </c>
      <c r="D50" s="1" t="s">
        <v>424</v>
      </c>
      <c r="E50" s="1" t="s">
        <v>425</v>
      </c>
      <c r="F50" s="1">
        <v>100</v>
      </c>
      <c r="G50" s="6">
        <v>400</v>
      </c>
      <c r="H50" s="6">
        <f t="shared" si="3"/>
        <v>40000</v>
      </c>
      <c r="I50" s="1" t="s">
        <v>255</v>
      </c>
      <c r="J50" s="35">
        <f t="array" ref="J50">IFERROR(INDEX(Tableau7[Quantite], MATCH(1, (Tableau7[Num Bon de Commande]=Tableau3[[#This Row],[Num Commande]]) * (Tableau7[Num Article]=Tableau3[[#This Row],[Num Article]]), 0)), "")</f>
        <v>100</v>
      </c>
      <c r="K50" s="35" t="str">
        <f>IF(Tableau3[[#This Row],[Contrôle]]=Tableau3[[#This Row],[Quantite]],"Close","Open")</f>
        <v>Close</v>
      </c>
      <c r="L50" s="31"/>
      <c r="M50" s="31"/>
    </row>
    <row r="51" spans="1:13" x14ac:dyDescent="0.25">
      <c r="A51" s="31"/>
      <c r="B51" s="1" t="s">
        <v>447</v>
      </c>
      <c r="C51" s="7">
        <v>45799.450752314813</v>
      </c>
      <c r="D51" s="1" t="s">
        <v>426</v>
      </c>
      <c r="E51" s="1" t="s">
        <v>27</v>
      </c>
      <c r="F51" s="1">
        <v>100</v>
      </c>
      <c r="G51" s="6">
        <v>1035</v>
      </c>
      <c r="H51" s="6">
        <f t="shared" si="3"/>
        <v>103500</v>
      </c>
      <c r="I51" s="1" t="s">
        <v>255</v>
      </c>
      <c r="J51" s="35">
        <f t="array" ref="J51">IFERROR(INDEX(Tableau7[Quantite], MATCH(1, (Tableau7[Num Bon de Commande]=Tableau3[[#This Row],[Num Commande]]) * (Tableau7[Num Article]=Tableau3[[#This Row],[Num Article]]), 0)), "")</f>
        <v>100</v>
      </c>
      <c r="K51" s="35" t="str">
        <f>IF(Tableau3[[#This Row],[Contrôle]]=Tableau3[[#This Row],[Quantite]],"Close","Open")</f>
        <v>Close</v>
      </c>
      <c r="L51" s="31"/>
      <c r="M51" s="31"/>
    </row>
    <row r="52" spans="1:13" x14ac:dyDescent="0.25">
      <c r="A52" s="31"/>
      <c r="B52" s="1" t="s">
        <v>447</v>
      </c>
      <c r="C52" s="7">
        <v>45799.450752314813</v>
      </c>
      <c r="D52" s="1" t="s">
        <v>427</v>
      </c>
      <c r="E52" s="1" t="s">
        <v>383</v>
      </c>
      <c r="F52" s="1">
        <v>100</v>
      </c>
      <c r="G52" s="6">
        <v>300</v>
      </c>
      <c r="H52" s="6">
        <f t="shared" si="3"/>
        <v>30000</v>
      </c>
      <c r="I52" s="1" t="s">
        <v>255</v>
      </c>
      <c r="J52" s="35">
        <f t="array" ref="J52">IFERROR(INDEX(Tableau7[Quantite], MATCH(1, (Tableau7[Num Bon de Commande]=Tableau3[[#This Row],[Num Commande]]) * (Tableau7[Num Article]=Tableau3[[#This Row],[Num Article]]), 0)), "")</f>
        <v>100</v>
      </c>
      <c r="K52" s="35" t="str">
        <f>IF(Tableau3[[#This Row],[Contrôle]]=Tableau3[[#This Row],[Quantite]],"Close","Open")</f>
        <v>Close</v>
      </c>
      <c r="L52" s="31"/>
      <c r="M52" s="31"/>
    </row>
    <row r="53" spans="1:13" x14ac:dyDescent="0.25">
      <c r="A53" s="31"/>
      <c r="B53" s="1" t="s">
        <v>450</v>
      </c>
      <c r="C53" s="7">
        <v>45799.502152777779</v>
      </c>
      <c r="D53" s="1" t="s">
        <v>166</v>
      </c>
      <c r="E53" s="1" t="s">
        <v>167</v>
      </c>
      <c r="F53" s="1">
        <v>10</v>
      </c>
      <c r="G53" s="6">
        <v>700</v>
      </c>
      <c r="H53" s="6">
        <f t="shared" si="3"/>
        <v>7000</v>
      </c>
      <c r="I53" s="1" t="s">
        <v>255</v>
      </c>
      <c r="J53" s="35" t="str">
        <f t="array" ref="J53">IFERROR(INDEX(Tableau7[Quantite], MATCH(1, (Tableau7[Num Bon de Commande]=Tableau3[[#This Row],[Num Commande]]) * (Tableau7[Num Article]=Tableau3[[#This Row],[Num Article]]), 0)), "")</f>
        <v/>
      </c>
      <c r="K53" s="35" t="str">
        <f>IF(Tableau3[[#This Row],[Contrôle]]=Tableau3[[#This Row],[Quantite]],"Close","Open")</f>
        <v>Open</v>
      </c>
      <c r="L53" s="31"/>
      <c r="M53" s="31"/>
    </row>
    <row r="54" spans="1:13" x14ac:dyDescent="0.25">
      <c r="A54" s="31"/>
      <c r="B54" s="1" t="s">
        <v>451</v>
      </c>
      <c r="C54" s="7">
        <v>45799.507962962962</v>
      </c>
      <c r="D54" s="1" t="s">
        <v>22</v>
      </c>
      <c r="E54" s="1" t="s">
        <v>23</v>
      </c>
      <c r="F54" s="1">
        <v>10</v>
      </c>
      <c r="G54" s="6">
        <v>1000</v>
      </c>
      <c r="H54" s="6">
        <f t="shared" si="3"/>
        <v>10000</v>
      </c>
      <c r="I54" s="1" t="s">
        <v>255</v>
      </c>
      <c r="J54" s="35" t="str">
        <f t="array" ref="J54">IFERROR(INDEX(Tableau7[Quantite], MATCH(1, (Tableau7[Num Bon de Commande]=Tableau3[[#This Row],[Num Commande]]) * (Tableau7[Num Article]=Tableau3[[#This Row],[Num Article]]), 0)), "")</f>
        <v/>
      </c>
      <c r="K54" s="35" t="str">
        <f>IF(Tableau3[[#This Row],[Contrôle]]=Tableau3[[#This Row],[Quantite]],"Close","Open")</f>
        <v>Open</v>
      </c>
      <c r="L54" s="31"/>
      <c r="M54" s="31"/>
    </row>
    <row r="55" spans="1:13" x14ac:dyDescent="0.25">
      <c r="A55" s="31"/>
      <c r="B55" s="1" t="s">
        <v>452</v>
      </c>
      <c r="C55" s="7">
        <v>45799.509814814817</v>
      </c>
      <c r="D55" s="1" t="s">
        <v>28</v>
      </c>
      <c r="E55" s="1" t="s">
        <v>29</v>
      </c>
      <c r="F55" s="1">
        <v>10</v>
      </c>
      <c r="G55" s="6">
        <v>600</v>
      </c>
      <c r="H55" s="6">
        <f t="shared" si="3"/>
        <v>6000</v>
      </c>
      <c r="I55" s="1" t="s">
        <v>97</v>
      </c>
      <c r="J55" s="35" t="str">
        <f t="array" ref="J55">IFERROR(INDEX(Tableau7[Quantite], MATCH(1, (Tableau7[Num Bon de Commande]=Tableau3[[#This Row],[Num Commande]]) * (Tableau7[Num Article]=Tableau3[[#This Row],[Num Article]]), 0)), "")</f>
        <v/>
      </c>
      <c r="K55" s="35" t="str">
        <f>IF(Tableau3[[#This Row],[Contrôle]]=Tableau3[[#This Row],[Quantite]],"Close","Open")</f>
        <v>Open</v>
      </c>
      <c r="L55" s="31"/>
      <c r="M55" s="31"/>
    </row>
    <row r="56" spans="1:13" x14ac:dyDescent="0.25">
      <c r="A56" s="31"/>
      <c r="B56" s="1" t="s">
        <v>459</v>
      </c>
      <c r="C56" s="7">
        <v>45804.418078703704</v>
      </c>
      <c r="D56" s="1" t="s">
        <v>455</v>
      </c>
      <c r="E56" s="1" t="s">
        <v>456</v>
      </c>
      <c r="F56" s="1">
        <v>100</v>
      </c>
      <c r="G56" s="6">
        <v>1300</v>
      </c>
      <c r="H56" s="6">
        <f>F56*G56</f>
        <v>130000</v>
      </c>
      <c r="I56" s="1" t="s">
        <v>97</v>
      </c>
      <c r="J56" s="35">
        <f t="array" ref="J56">IFERROR(INDEX(Tableau7[Quantite], MATCH(1, (Tableau7[Num Bon de Commande]=Tableau3[[#This Row],[Num Commande]]) * (Tableau7[Num Article]=Tableau3[[#This Row],[Num Article]]), 0)), "")</f>
        <v>100</v>
      </c>
      <c r="K56" s="35" t="str">
        <f>IF(Tableau3[[#This Row],[Contrôle]]=Tableau3[[#This Row],[Quantite]],"Close","Open")</f>
        <v>Close</v>
      </c>
      <c r="L56" s="31"/>
      <c r="M56" s="31"/>
    </row>
    <row r="57" spans="1:13" x14ac:dyDescent="0.25">
      <c r="A57" s="31"/>
      <c r="B57" s="1" t="s">
        <v>483</v>
      </c>
      <c r="C57" s="7">
        <v>45874.545405092591</v>
      </c>
      <c r="D57" s="1" t="s">
        <v>476</v>
      </c>
      <c r="E57" s="1" t="s">
        <v>477</v>
      </c>
      <c r="F57" s="1">
        <v>100</v>
      </c>
      <c r="G57" s="6">
        <v>2200</v>
      </c>
      <c r="H57" s="6">
        <f>F57*G57</f>
        <v>220000</v>
      </c>
      <c r="I57" s="1" t="s">
        <v>97</v>
      </c>
      <c r="J57" s="35">
        <f t="array" ref="J57">IFERROR(INDEX(Tableau7[Quantite], MATCH(1, (Tableau7[Num Bon de Commande]=Tableau3[[#This Row],[Num Commande]]) * (Tableau7[Num Article]=Tableau3[[#This Row],[Num Article]]), 0)), "")</f>
        <v>100</v>
      </c>
      <c r="K57" s="35" t="str">
        <f>IF(Tableau3[[#This Row],[Contrôle]]=Tableau3[[#This Row],[Quantite]],"Close","Open")</f>
        <v>Close</v>
      </c>
      <c r="L57" s="31"/>
      <c r="M57" s="31"/>
    </row>
    <row r="58" spans="1:13" x14ac:dyDescent="0.25">
      <c r="A58" s="31"/>
      <c r="B58" s="1" t="s">
        <v>483</v>
      </c>
      <c r="C58" s="7">
        <v>45874.545405092591</v>
      </c>
      <c r="D58" s="1" t="s">
        <v>481</v>
      </c>
      <c r="E58" s="1" t="s">
        <v>482</v>
      </c>
      <c r="F58" s="1">
        <v>100</v>
      </c>
      <c r="G58" s="6">
        <v>15</v>
      </c>
      <c r="H58" s="6">
        <f>F58*G58</f>
        <v>1500</v>
      </c>
      <c r="I58" s="1" t="s">
        <v>97</v>
      </c>
      <c r="J58" s="35">
        <f t="array" ref="J58">IFERROR(INDEX(Tableau7[Quantite], MATCH(1, (Tableau7[Num Bon de Commande]=Tableau3[[#This Row],[Num Commande]]) * (Tableau7[Num Article]=Tableau3[[#This Row],[Num Article]]), 0)), "")</f>
        <v>100</v>
      </c>
      <c r="K58" s="35" t="str">
        <f>IF(Tableau3[[#This Row],[Contrôle]]=Tableau3[[#This Row],[Quantite]],"Close","Open")</f>
        <v>Close</v>
      </c>
      <c r="L58" s="31"/>
      <c r="M58" s="31"/>
    </row>
    <row r="59" spans="1:13" x14ac:dyDescent="0.25">
      <c r="A59" s="31"/>
      <c r="B59" s="1" t="s">
        <v>483</v>
      </c>
      <c r="C59" s="7">
        <v>45874.545405092591</v>
      </c>
      <c r="D59" s="1" t="s">
        <v>478</v>
      </c>
      <c r="E59" s="1" t="s">
        <v>479</v>
      </c>
      <c r="F59" s="1">
        <v>100</v>
      </c>
      <c r="G59" s="6">
        <v>1500</v>
      </c>
      <c r="H59" s="6">
        <f>F59*G59</f>
        <v>150000</v>
      </c>
      <c r="I59" s="1" t="s">
        <v>97</v>
      </c>
      <c r="J59" s="35">
        <f t="array" ref="J59">IFERROR(INDEX(Tableau7[Quantite], MATCH(1, (Tableau7[Num Bon de Commande]=Tableau3[[#This Row],[Num Commande]]) * (Tableau7[Num Article]=Tableau3[[#This Row],[Num Article]]), 0)), "")</f>
        <v>100</v>
      </c>
      <c r="K59" s="35" t="str">
        <f>IF(Tableau3[[#This Row],[Contrôle]]=Tableau3[[#This Row],[Quantite]],"Close","Open")</f>
        <v>Close</v>
      </c>
      <c r="L59" s="31"/>
      <c r="M59" s="31"/>
    </row>
    <row r="60" spans="1:13" x14ac:dyDescent="0.25">
      <c r="A60" s="31"/>
      <c r="B60" s="1" t="s">
        <v>490</v>
      </c>
      <c r="C60" s="7">
        <v>45874.558263888888</v>
      </c>
      <c r="D60" s="1" t="s">
        <v>489</v>
      </c>
      <c r="E60" s="1" t="s">
        <v>482</v>
      </c>
      <c r="F60" s="1">
        <v>100</v>
      </c>
      <c r="G60" s="6">
        <v>1500</v>
      </c>
      <c r="H60" s="6">
        <f>F60*G60</f>
        <v>150000</v>
      </c>
      <c r="I60" s="1" t="s">
        <v>97</v>
      </c>
      <c r="J60" s="35">
        <f t="array" ref="J60">IFERROR(INDEX(Tableau7[Quantite], MATCH(1, (Tableau7[Num Bon de Commande]=Tableau3[[#This Row],[Num Commande]]) * (Tableau7[Num Article]=Tableau3[[#This Row],[Num Article]]), 0)), "")</f>
        <v>100</v>
      </c>
      <c r="K60" s="35" t="str">
        <f>IF(Tableau3[[#This Row],[Contrôle]]=Tableau3[[#This Row],[Quantite]],"Close","Open")</f>
        <v>Close</v>
      </c>
      <c r="L60" s="31"/>
      <c r="M60" s="31"/>
    </row>
    <row r="61" spans="1:13" x14ac:dyDescent="0.25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</row>
    <row r="62" spans="1:13" x14ac:dyDescent="0.25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</row>
    <row r="63" spans="1:13" x14ac:dyDescent="0.2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</row>
    <row r="64" spans="1:13" ht="45" x14ac:dyDescent="0.6">
      <c r="A64" s="31"/>
      <c r="B64" s="31"/>
      <c r="C64" s="31"/>
      <c r="D64" s="31"/>
      <c r="E64" s="31"/>
      <c r="F64" s="31"/>
      <c r="G64" s="32"/>
      <c r="H64" s="31"/>
      <c r="I64" s="31"/>
      <c r="J64" s="31"/>
      <c r="K64" s="31"/>
      <c r="L64" s="31"/>
      <c r="M64" s="31"/>
    </row>
    <row r="65" spans="1:13" x14ac:dyDescent="0.25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</row>
    <row r="66" spans="1:13" x14ac:dyDescent="0.25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</row>
    <row r="67" spans="1:13" x14ac:dyDescent="0.25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</row>
    <row r="68" spans="1:13" x14ac:dyDescent="0.2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</row>
    <row r="69" spans="1:13" x14ac:dyDescent="0.25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</row>
    <row r="70" spans="1:13" x14ac:dyDescent="0.2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</row>
    <row r="71" spans="1:13" x14ac:dyDescent="0.2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</row>
    <row r="72" spans="1:13" x14ac:dyDescent="0.2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</row>
    <row r="73" spans="1:13" x14ac:dyDescent="0.2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</row>
    <row r="74" spans="1:13" x14ac:dyDescent="0.25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</row>
    <row r="75" spans="1:13" x14ac:dyDescent="0.25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</row>
    <row r="76" spans="1:13" x14ac:dyDescent="0.25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</row>
    <row r="77" spans="1:13" x14ac:dyDescent="0.25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</row>
    <row r="78" spans="1:13" x14ac:dyDescent="0.25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</row>
    <row r="79" spans="1:13" x14ac:dyDescent="0.25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</row>
    <row r="80" spans="1:13" x14ac:dyDescent="0.25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</row>
    <row r="81" spans="1:13" x14ac:dyDescent="0.25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</row>
    <row r="82" spans="1:13" x14ac:dyDescent="0.25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</row>
    <row r="83" spans="1:13" x14ac:dyDescent="0.25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</row>
    <row r="84" spans="1:13" x14ac:dyDescent="0.25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</row>
    <row r="85" spans="1:13" x14ac:dyDescent="0.25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</row>
    <row r="86" spans="1:13" x14ac:dyDescent="0.25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</row>
    <row r="87" spans="1:13" x14ac:dyDescent="0.25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</row>
    <row r="88" spans="1:13" x14ac:dyDescent="0.25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</row>
    <row r="89" spans="1:13" x14ac:dyDescent="0.25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</row>
    <row r="90" spans="1:13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</row>
    <row r="91" spans="1:13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</row>
    <row r="92" spans="1:13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</row>
    <row r="93" spans="1:13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</row>
    <row r="94" spans="1:13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</row>
    <row r="95" spans="1:13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</row>
    <row r="96" spans="1:13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</row>
    <row r="97" spans="1:13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</row>
    <row r="98" spans="1:13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</row>
    <row r="99" spans="1:13" x14ac:dyDescent="0.25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</row>
    <row r="100" spans="1:13" x14ac:dyDescent="0.25"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</row>
    <row r="101" spans="1:13" x14ac:dyDescent="0.25"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</row>
    <row r="102" spans="1:13" x14ac:dyDescent="0.25">
      <c r="B102" s="31"/>
      <c r="C102" s="31"/>
      <c r="D102" s="31"/>
      <c r="E102" s="31"/>
      <c r="F102" s="31"/>
      <c r="G102" s="31"/>
      <c r="H102" s="31"/>
      <c r="I102" s="31"/>
      <c r="J102" s="31"/>
      <c r="K102" s="31"/>
    </row>
    <row r="103" spans="1:13" x14ac:dyDescent="0.25">
      <c r="B103" s="31"/>
      <c r="C103" s="31"/>
      <c r="D103" s="31"/>
      <c r="E103" s="31"/>
      <c r="F103" s="31"/>
      <c r="G103" s="31"/>
      <c r="H103" s="31"/>
      <c r="I103" s="31"/>
      <c r="J103" s="31"/>
      <c r="K103" s="31"/>
    </row>
    <row r="104" spans="1:13" x14ac:dyDescent="0.25">
      <c r="B104" s="31"/>
      <c r="C104" s="31"/>
      <c r="D104" s="31"/>
      <c r="E104" s="31"/>
      <c r="F104" s="31"/>
      <c r="G104" s="31"/>
      <c r="H104" s="31"/>
      <c r="I104" s="31"/>
      <c r="J104" s="31"/>
      <c r="K104" s="31"/>
    </row>
    <row r="105" spans="1:13" x14ac:dyDescent="0.25">
      <c r="B105" s="31"/>
      <c r="C105" s="31"/>
      <c r="D105" s="31"/>
      <c r="E105" s="31"/>
      <c r="F105" s="31"/>
      <c r="G105" s="31"/>
      <c r="H105" s="31"/>
      <c r="I105" s="31"/>
      <c r="J105" s="31"/>
      <c r="K105" s="31"/>
    </row>
    <row r="106" spans="1:13" x14ac:dyDescent="0.25">
      <c r="B106" s="31"/>
      <c r="C106" s="31"/>
      <c r="D106" s="31"/>
      <c r="E106" s="31"/>
      <c r="F106" s="31"/>
      <c r="G106" s="31"/>
      <c r="H106" s="31"/>
      <c r="I106" s="31"/>
      <c r="J106" s="31"/>
      <c r="K106" s="31"/>
    </row>
    <row r="107" spans="1:13" x14ac:dyDescent="0.25">
      <c r="B107" s="31"/>
      <c r="C107" s="31"/>
      <c r="D107" s="31"/>
      <c r="E107" s="31"/>
      <c r="F107" s="31"/>
      <c r="G107" s="31"/>
      <c r="H107" s="31"/>
      <c r="I107" s="31"/>
      <c r="J107" s="31"/>
      <c r="K107" s="31"/>
    </row>
    <row r="108" spans="1:13" x14ac:dyDescent="0.25">
      <c r="B108" s="31"/>
      <c r="C108" s="31"/>
      <c r="D108" s="31"/>
      <c r="E108" s="31"/>
      <c r="F108" s="31"/>
      <c r="G108" s="31"/>
      <c r="H108" s="31"/>
      <c r="I108" s="31"/>
      <c r="J108" s="31"/>
      <c r="K108" s="31"/>
    </row>
    <row r="109" spans="1:13" x14ac:dyDescent="0.25">
      <c r="B109" s="31"/>
      <c r="C109" s="31"/>
      <c r="D109" s="31"/>
      <c r="E109" s="31"/>
      <c r="F109" s="31"/>
      <c r="G109" s="31"/>
      <c r="H109" s="31"/>
      <c r="I109" s="31"/>
      <c r="J109" s="31"/>
      <c r="K109" s="31"/>
    </row>
    <row r="110" spans="1:13" x14ac:dyDescent="0.25">
      <c r="B110" s="31"/>
      <c r="C110" s="31"/>
      <c r="D110" s="31"/>
      <c r="E110" s="31"/>
      <c r="F110" s="31"/>
      <c r="G110" s="31"/>
      <c r="H110" s="31"/>
      <c r="I110" s="31"/>
      <c r="J110" s="31"/>
      <c r="K110" s="31"/>
    </row>
    <row r="111" spans="1:13" x14ac:dyDescent="0.25">
      <c r="B111" s="31"/>
      <c r="C111" s="31"/>
      <c r="D111" s="31"/>
      <c r="E111" s="31"/>
      <c r="F111" s="31"/>
      <c r="G111" s="31"/>
      <c r="H111" s="31"/>
      <c r="I111" s="31"/>
      <c r="J111" s="31"/>
      <c r="K111" s="31"/>
    </row>
    <row r="112" spans="1:13" x14ac:dyDescent="0.25">
      <c r="B112" s="31"/>
      <c r="C112" s="31"/>
      <c r="D112" s="31"/>
      <c r="E112" s="31"/>
      <c r="F112" s="31"/>
      <c r="G112" s="31"/>
      <c r="H112" s="31"/>
      <c r="I112" s="31"/>
      <c r="J112" s="31"/>
      <c r="K112" s="31"/>
    </row>
    <row r="113" spans="2:11" x14ac:dyDescent="0.25">
      <c r="B113" s="31"/>
      <c r="C113" s="31"/>
      <c r="D113" s="31"/>
      <c r="E113" s="31"/>
      <c r="F113" s="31"/>
      <c r="G113" s="31"/>
      <c r="H113" s="31"/>
      <c r="I113" s="31"/>
      <c r="J113" s="31"/>
      <c r="K113" s="31"/>
    </row>
    <row r="114" spans="2:11" x14ac:dyDescent="0.25">
      <c r="B114" s="31"/>
      <c r="C114" s="31"/>
      <c r="D114" s="31"/>
      <c r="E114" s="31"/>
      <c r="F114" s="31"/>
      <c r="G114" s="31"/>
      <c r="H114" s="31"/>
      <c r="I114" s="31"/>
      <c r="J114" s="31"/>
      <c r="K114" s="31"/>
    </row>
    <row r="115" spans="2:11" x14ac:dyDescent="0.25">
      <c r="B115" s="31"/>
      <c r="C115" s="31"/>
      <c r="D115" s="31"/>
      <c r="E115" s="31"/>
      <c r="F115" s="31"/>
      <c r="G115" s="31"/>
      <c r="H115" s="31"/>
      <c r="I115" s="31"/>
      <c r="J115" s="31"/>
      <c r="K115" s="31"/>
    </row>
    <row r="116" spans="2:11" x14ac:dyDescent="0.25">
      <c r="B116" s="31"/>
      <c r="C116" s="31"/>
      <c r="D116" s="31"/>
      <c r="E116" s="31"/>
      <c r="F116" s="31"/>
      <c r="G116" s="31"/>
      <c r="H116" s="31"/>
      <c r="I116" s="31"/>
      <c r="J116" s="31"/>
      <c r="K116" s="31"/>
    </row>
    <row r="117" spans="2:11" x14ac:dyDescent="0.25">
      <c r="B117" s="31"/>
      <c r="C117" s="31"/>
      <c r="D117" s="31"/>
      <c r="E117" s="31"/>
      <c r="F117" s="31"/>
      <c r="G117" s="31"/>
      <c r="H117" s="31"/>
      <c r="I117" s="31"/>
      <c r="J117" s="31"/>
      <c r="K117" s="31"/>
    </row>
    <row r="118" spans="2:11" x14ac:dyDescent="0.25">
      <c r="B118" s="31"/>
      <c r="C118" s="31"/>
      <c r="D118" s="31"/>
      <c r="E118" s="31"/>
      <c r="F118" s="31"/>
      <c r="G118" s="31"/>
      <c r="H118" s="31"/>
      <c r="I118" s="31"/>
      <c r="J118" s="31"/>
      <c r="K118" s="31"/>
    </row>
    <row r="119" spans="2:11" x14ac:dyDescent="0.25">
      <c r="B119" s="31"/>
      <c r="C119" s="31"/>
      <c r="D119" s="31"/>
      <c r="E119" s="31"/>
      <c r="F119" s="31"/>
      <c r="G119" s="31"/>
      <c r="H119" s="31"/>
      <c r="I119" s="31"/>
      <c r="J119" s="31"/>
      <c r="K119" s="31"/>
    </row>
    <row r="120" spans="2:11" x14ac:dyDescent="0.25">
      <c r="B120" s="31"/>
      <c r="C120" s="31"/>
      <c r="D120" s="31"/>
      <c r="E120" s="31"/>
      <c r="F120" s="31"/>
      <c r="G120" s="31"/>
      <c r="H120" s="31"/>
      <c r="I120" s="31"/>
      <c r="J120" s="31"/>
      <c r="K120" s="31"/>
    </row>
    <row r="121" spans="2:11" x14ac:dyDescent="0.25">
      <c r="B121" s="31"/>
      <c r="C121" s="31"/>
      <c r="D121" s="31"/>
      <c r="E121" s="31"/>
      <c r="F121" s="31"/>
      <c r="G121" s="31"/>
      <c r="H121" s="31"/>
      <c r="I121" s="31"/>
      <c r="J121" s="31"/>
      <c r="K121" s="31"/>
    </row>
    <row r="122" spans="2:11" x14ac:dyDescent="0.25">
      <c r="B122" s="31"/>
      <c r="C122" s="31"/>
      <c r="D122" s="31"/>
      <c r="E122" s="31"/>
      <c r="F122" s="31"/>
      <c r="G122" s="31"/>
      <c r="H122" s="31"/>
      <c r="I122" s="31"/>
      <c r="J122" s="31"/>
      <c r="K122" s="31"/>
    </row>
    <row r="123" spans="2:11" x14ac:dyDescent="0.25">
      <c r="B123" s="31"/>
      <c r="C123" s="31"/>
      <c r="D123" s="31"/>
      <c r="E123" s="31"/>
      <c r="F123" s="31"/>
      <c r="G123" s="31"/>
      <c r="H123" s="31"/>
      <c r="I123" s="31"/>
      <c r="J123" s="31"/>
      <c r="K123" s="31"/>
    </row>
    <row r="124" spans="2:11" x14ac:dyDescent="0.25">
      <c r="B124" s="31"/>
      <c r="C124" s="31"/>
      <c r="D124" s="31"/>
      <c r="E124" s="31"/>
      <c r="F124" s="31"/>
      <c r="G124" s="31"/>
      <c r="H124" s="31"/>
      <c r="I124" s="31"/>
      <c r="J124" s="31"/>
      <c r="K124" s="31"/>
    </row>
    <row r="125" spans="2:11" x14ac:dyDescent="0.25">
      <c r="B125" s="31"/>
      <c r="C125" s="31"/>
      <c r="D125" s="31"/>
      <c r="E125" s="31"/>
      <c r="F125" s="31"/>
      <c r="G125" s="31"/>
      <c r="H125" s="31"/>
      <c r="I125" s="31"/>
      <c r="J125" s="31"/>
      <c r="K125" s="31"/>
    </row>
    <row r="126" spans="2:11" x14ac:dyDescent="0.25">
      <c r="B126" s="31"/>
      <c r="C126" s="31"/>
      <c r="D126" s="31"/>
      <c r="E126" s="31"/>
      <c r="F126" s="31"/>
      <c r="G126" s="31"/>
      <c r="H126" s="31"/>
      <c r="I126" s="31"/>
      <c r="J126" s="31"/>
      <c r="K126" s="31"/>
    </row>
    <row r="127" spans="2:11" x14ac:dyDescent="0.25">
      <c r="B127" s="31"/>
      <c r="C127" s="31"/>
      <c r="D127" s="31"/>
      <c r="E127" s="31"/>
      <c r="F127" s="31"/>
      <c r="G127" s="31"/>
      <c r="H127" s="31"/>
      <c r="I127" s="31"/>
      <c r="J127" s="31"/>
      <c r="K127" s="31"/>
    </row>
    <row r="128" spans="2:11" x14ac:dyDescent="0.25">
      <c r="B128" s="31"/>
      <c r="C128" s="31"/>
      <c r="D128" s="31"/>
      <c r="E128" s="31"/>
      <c r="F128" s="31"/>
      <c r="G128" s="31"/>
      <c r="H128" s="31"/>
      <c r="I128" s="31"/>
      <c r="J128" s="31"/>
      <c r="K128" s="31"/>
    </row>
    <row r="129" spans="2:11" x14ac:dyDescent="0.25">
      <c r="B129" s="31"/>
      <c r="C129" s="31"/>
      <c r="D129" s="31"/>
      <c r="E129" s="31"/>
      <c r="F129" s="31"/>
      <c r="G129" s="31"/>
      <c r="H129" s="31"/>
      <c r="I129" s="31"/>
      <c r="J129" s="31"/>
      <c r="K129" s="31"/>
    </row>
    <row r="130" spans="2:11" x14ac:dyDescent="0.25">
      <c r="B130" s="31"/>
      <c r="C130" s="31"/>
      <c r="D130" s="31"/>
      <c r="E130" s="31"/>
      <c r="F130" s="31"/>
      <c r="G130" s="31"/>
      <c r="H130" s="31"/>
      <c r="I130" s="31"/>
      <c r="J130" s="31"/>
      <c r="K130" s="31"/>
    </row>
    <row r="131" spans="2:11" x14ac:dyDescent="0.25">
      <c r="B131" s="31"/>
      <c r="C131" s="31"/>
      <c r="D131" s="31"/>
      <c r="E131" s="31"/>
      <c r="F131" s="31"/>
      <c r="G131" s="31"/>
      <c r="H131" s="31"/>
      <c r="I131" s="31"/>
      <c r="J131" s="31"/>
      <c r="K131" s="31"/>
    </row>
    <row r="132" spans="2:11" x14ac:dyDescent="0.25">
      <c r="B132" s="31"/>
      <c r="C132" s="31"/>
      <c r="D132" s="31"/>
      <c r="E132" s="31"/>
      <c r="F132" s="31"/>
      <c r="G132" s="31"/>
      <c r="H132" s="31"/>
      <c r="I132" s="31"/>
      <c r="J132" s="31"/>
      <c r="K132" s="31"/>
    </row>
    <row r="133" spans="2:11" x14ac:dyDescent="0.25">
      <c r="B133" s="31"/>
      <c r="C133" s="31"/>
      <c r="D133" s="31"/>
      <c r="E133" s="31"/>
      <c r="F133" s="31"/>
      <c r="G133" s="31"/>
      <c r="H133" s="31"/>
      <c r="I133" s="31"/>
      <c r="J133" s="31"/>
      <c r="K133" s="31"/>
    </row>
    <row r="134" spans="2:11" x14ac:dyDescent="0.25">
      <c r="B134" s="31"/>
      <c r="C134" s="31"/>
      <c r="D134" s="31"/>
      <c r="E134" s="31"/>
      <c r="F134" s="31"/>
      <c r="G134" s="31"/>
      <c r="H134" s="31"/>
      <c r="I134" s="31"/>
      <c r="J134" s="31"/>
      <c r="K134" s="31"/>
    </row>
    <row r="135" spans="2:11" x14ac:dyDescent="0.25">
      <c r="B135" s="31"/>
      <c r="C135" s="31"/>
      <c r="D135" s="31"/>
      <c r="E135" s="31"/>
      <c r="F135" s="31"/>
      <c r="G135" s="31"/>
      <c r="H135" s="31"/>
      <c r="I135" s="31"/>
      <c r="J135" s="31"/>
      <c r="K135" s="31"/>
    </row>
    <row r="136" spans="2:11" x14ac:dyDescent="0.25">
      <c r="B136" s="31"/>
      <c r="C136" s="31"/>
      <c r="D136" s="31"/>
      <c r="E136" s="31"/>
      <c r="F136" s="31"/>
      <c r="G136" s="31"/>
      <c r="H136" s="31"/>
      <c r="I136" s="31"/>
      <c r="J136" s="31"/>
      <c r="K136" s="31"/>
    </row>
    <row r="137" spans="2:11" x14ac:dyDescent="0.25">
      <c r="B137" s="31"/>
      <c r="C137" s="31"/>
      <c r="D137" s="31"/>
      <c r="E137" s="31"/>
      <c r="F137" s="31"/>
      <c r="G137" s="31"/>
      <c r="H137" s="31"/>
      <c r="I137" s="31"/>
      <c r="J137" s="31"/>
      <c r="K137" s="31"/>
    </row>
    <row r="138" spans="2:11" x14ac:dyDescent="0.25">
      <c r="B138" s="31"/>
      <c r="C138" s="31"/>
      <c r="D138" s="31"/>
      <c r="E138" s="31"/>
      <c r="F138" s="31"/>
      <c r="G138" s="31"/>
      <c r="H138" s="31"/>
      <c r="I138" s="31"/>
      <c r="J138" s="31"/>
      <c r="K138" s="31"/>
    </row>
    <row r="139" spans="2:11" x14ac:dyDescent="0.25">
      <c r="B139" s="31"/>
      <c r="C139" s="31"/>
      <c r="D139" s="31"/>
      <c r="E139" s="31"/>
      <c r="F139" s="31"/>
      <c r="G139" s="31"/>
      <c r="H139" s="31"/>
      <c r="I139" s="31"/>
      <c r="J139" s="31"/>
      <c r="K139" s="31"/>
    </row>
    <row r="140" spans="2:11" x14ac:dyDescent="0.25">
      <c r="B140" s="31"/>
      <c r="C140" s="31"/>
      <c r="D140" s="31"/>
      <c r="E140" s="31"/>
      <c r="F140" s="31"/>
      <c r="G140" s="31"/>
      <c r="H140" s="31"/>
      <c r="I140" s="31"/>
      <c r="J140" s="31"/>
      <c r="K140" s="31"/>
    </row>
    <row r="141" spans="2:11" x14ac:dyDescent="0.25">
      <c r="B141" s="31"/>
      <c r="C141" s="31"/>
      <c r="D141" s="31"/>
      <c r="E141" s="31"/>
      <c r="F141" s="31"/>
      <c r="G141" s="31"/>
      <c r="H141" s="31"/>
      <c r="I141" s="31"/>
      <c r="J141" s="31"/>
      <c r="K141" s="31"/>
    </row>
    <row r="142" spans="2:11" x14ac:dyDescent="0.25">
      <c r="B142" s="31"/>
      <c r="C142" s="31"/>
      <c r="D142" s="31"/>
      <c r="E142" s="31"/>
      <c r="F142" s="31"/>
      <c r="G142" s="31"/>
      <c r="H142" s="31"/>
      <c r="I142" s="31"/>
      <c r="J142" s="31"/>
      <c r="K142" s="31"/>
    </row>
    <row r="143" spans="2:11" x14ac:dyDescent="0.25">
      <c r="B143" s="31"/>
      <c r="C143" s="31"/>
      <c r="D143" s="31"/>
      <c r="E143" s="31"/>
      <c r="F143" s="31"/>
      <c r="G143" s="31"/>
      <c r="H143" s="31"/>
      <c r="I143" s="31"/>
      <c r="J143" s="31"/>
    </row>
    <row r="144" spans="2:11" x14ac:dyDescent="0.25">
      <c r="B144" s="31"/>
      <c r="C144" s="31"/>
      <c r="D144" s="31"/>
      <c r="E144" s="31"/>
      <c r="F144" s="31"/>
      <c r="G144" s="31"/>
      <c r="H144" s="31"/>
      <c r="I144" s="31"/>
      <c r="J144" s="31"/>
    </row>
  </sheetData>
  <conditionalFormatting sqref="B6:K60">
    <cfRule type="expression" dxfId="100" priority="1">
      <formula>LOWER(TRIM($K6))="open"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4</xdr:col>
                <xdr:colOff>476250</xdr:colOff>
                <xdr:row>1</xdr:row>
                <xdr:rowOff>523875</xdr:rowOff>
              </from>
              <to>
                <xdr:col>4</xdr:col>
                <xdr:colOff>1714500</xdr:colOff>
                <xdr:row>2</xdr:row>
                <xdr:rowOff>152400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0EBAB-19D9-4BC7-BABE-F26294D0EE97}">
  <sheetPr codeName="Feuil4">
    <pageSetUpPr fitToPage="1"/>
  </sheetPr>
  <dimension ref="A3:H54"/>
  <sheetViews>
    <sheetView showGridLines="0" zoomScale="80" workbookViewId="0">
      <selection activeCell="D12" sqref="D12"/>
    </sheetView>
  </sheetViews>
  <sheetFormatPr baseColWidth="10" defaultRowHeight="15" x14ac:dyDescent="0.25"/>
  <cols>
    <col min="1" max="1" width="8.5703125" customWidth="1"/>
    <col min="2" max="2" width="22.28515625" customWidth="1"/>
    <col min="3" max="3" width="27.28515625" customWidth="1"/>
    <col min="4" max="4" width="24.5703125" customWidth="1"/>
    <col min="5" max="5" width="23" customWidth="1"/>
    <col min="6" max="6" width="26" customWidth="1"/>
    <col min="7" max="7" width="33.140625" customWidth="1"/>
  </cols>
  <sheetData>
    <row r="3" spans="2:8" x14ac:dyDescent="0.25">
      <c r="B3" s="15"/>
    </row>
    <row r="6" spans="2:8" ht="46.5" x14ac:dyDescent="0.7">
      <c r="B6" s="18"/>
      <c r="C6" s="19"/>
      <c r="D6" s="19"/>
      <c r="F6" s="20" t="s">
        <v>160</v>
      </c>
      <c r="G6" s="21"/>
      <c r="H6" s="21"/>
    </row>
    <row r="11" spans="2:8" x14ac:dyDescent="0.25">
      <c r="B11" s="12" t="s">
        <v>156</v>
      </c>
      <c r="C11" s="17" t="s">
        <v>490</v>
      </c>
      <c r="F11" t="s">
        <v>152</v>
      </c>
      <c r="G11" s="22">
        <f t="array" ref="G11">IFERROR(INDEX(Tableau3[Date],MATCH(C11,Tableau3[Num Commande],0)),"")</f>
        <v>45874.558263888888</v>
      </c>
    </row>
    <row r="12" spans="2:8" x14ac:dyDescent="0.25">
      <c r="B12" s="11" t="s">
        <v>148</v>
      </c>
    </row>
    <row r="13" spans="2:8" x14ac:dyDescent="0.25">
      <c r="B13" s="11" t="s">
        <v>147</v>
      </c>
    </row>
    <row r="15" spans="2:8" x14ac:dyDescent="0.25">
      <c r="B15" s="2" t="s">
        <v>161</v>
      </c>
      <c r="C15" s="3" t="s">
        <v>162</v>
      </c>
      <c r="F15" s="2" t="s">
        <v>153</v>
      </c>
      <c r="G15" s="3" t="str">
        <f>IFERROR(INDEX(Tableau3[Fournisseur],MATCH(C11,Tableau3[Num Commande],0)),"")</f>
        <v>Fournisseur 1</v>
      </c>
    </row>
    <row r="16" spans="2:8" x14ac:dyDescent="0.25">
      <c r="B16" s="1" t="s">
        <v>3</v>
      </c>
      <c r="C16" s="25" t="s">
        <v>8</v>
      </c>
      <c r="F16" s="1" t="s">
        <v>254</v>
      </c>
      <c r="G16" t="str">
        <f>IFERROR(INDEX(Tableau1[Nom Entreprise],MATCH(INDEX(Tableau3[Fournisseur],MATCH(C11,Tableau3[Num Commande],0)),Tableau1[Nom],0)),"")</f>
        <v>Santos 1</v>
      </c>
    </row>
    <row r="17" spans="1:7" x14ac:dyDescent="0.25">
      <c r="B17" s="1" t="s">
        <v>1</v>
      </c>
      <c r="C17" s="25" t="str">
        <f>CONCATENATE("Cam","-","1000","-","Douala")</f>
        <v>Cam-1000-Douala</v>
      </c>
      <c r="F17" s="1" t="s">
        <v>1</v>
      </c>
      <c r="G17" t="str">
        <f>IFERROR(INDEX(Tableau1[Adresse],MATCH(INDEX(Tableau3[Fournisseur],MATCH(C11,Tableau3[Num Commande],0)),Tableau1[Nom],0)),"")</f>
        <v>Besseke 1</v>
      </c>
    </row>
    <row r="18" spans="1:7" x14ac:dyDescent="0.25">
      <c r="B18" s="1" t="s">
        <v>7</v>
      </c>
      <c r="C18" s="25">
        <v>1000</v>
      </c>
      <c r="F18" s="1" t="s">
        <v>7</v>
      </c>
      <c r="G18">
        <f>IFERROR(INDEX(Tableau1[Code Postal],MATCH(INDEX(Tableau3[Fournisseur],MATCH(C11,Tableau3[Num Commande],0)),Tableau1[Nom],0)),"")</f>
        <v>235234</v>
      </c>
    </row>
    <row r="19" spans="1:7" x14ac:dyDescent="0.25">
      <c r="B19" s="1" t="s">
        <v>4</v>
      </c>
      <c r="C19" s="25">
        <v>650564259</v>
      </c>
      <c r="F19" s="1" t="s">
        <v>4</v>
      </c>
      <c r="G19">
        <f>IFERROR(INDEX(Tableau1[Telephone],MATCH(INDEX(Tableau3[Fournisseur],MATCH(C11,Tableau3[Num Commande],0)),Tableau1[Nom],0)),"")</f>
        <v>678943510</v>
      </c>
    </row>
    <row r="20" spans="1:7" x14ac:dyDescent="0.25">
      <c r="B20" s="1" t="s">
        <v>5</v>
      </c>
      <c r="C20" s="26" t="s">
        <v>163</v>
      </c>
      <c r="F20" s="1" t="s">
        <v>5</v>
      </c>
      <c r="G20" t="str">
        <f>IFERROR(INDEX(Tableau1[Mail],MATCH(INDEX(Tableau3[Fournisseur],MATCH(C11,Tableau3[Num Commande],0)),Tableau1[Nom],0)),"")</f>
        <v>kermmaddog90@gmail.com 1</v>
      </c>
    </row>
    <row r="23" spans="1:7" x14ac:dyDescent="0.25">
      <c r="B23" s="16" t="s">
        <v>154</v>
      </c>
      <c r="C23" s="8" t="s">
        <v>155</v>
      </c>
      <c r="D23" s="8" t="s">
        <v>0</v>
      </c>
      <c r="E23" s="8" t="s">
        <v>93</v>
      </c>
      <c r="F23" s="9" t="s">
        <v>9</v>
      </c>
      <c r="G23" s="8" t="s">
        <v>146</v>
      </c>
    </row>
    <row r="24" spans="1:7" x14ac:dyDescent="0.25">
      <c r="B24" s="23">
        <f>IF(C24&lt;&gt;"",ROW()-23,"")</f>
        <v>1</v>
      </c>
      <c r="C24" s="23" t="str">
        <f t="array" ref="C24">IFERROR(INDEX(Tableau3[Num Article],SMALL(IF(Tableau3[Num Commande]=BONCMD!$C$11,ROW(Tableau3[Num Article])-5),ROW()-23)),"")</f>
        <v>ART-0038</v>
      </c>
      <c r="D24" s="23" t="str">
        <f t="array" ref="D24">IFERROR(INDEX(Tableau3[Nom],SMALL(IF(Tableau3[Num Commande]=BONCMD!$C$11,ROW(Tableau3[Nom])-5),ROW()-23)),"")</f>
        <v>Yana Farine de Ble (1,5 Kg)</v>
      </c>
      <c r="E24" s="23">
        <f t="array" ref="E24">IFERROR(INDEX(Tableau3[Quantite],SMALL(IF(Tableau3[Num Commande]=BONCMD!$C$11,ROW(Tableau3[Quantite])-5),ROW()-23)),"")</f>
        <v>100</v>
      </c>
      <c r="F24" s="24">
        <f t="array" ref="F24">IFERROR(INDEX(Tableau3[Prix],SMALL(IF(Tableau3[Num Commande]=BONCMD!$C$11,ROW(Tableau3[Prix])-5),ROW()-23)),"")</f>
        <v>1500</v>
      </c>
      <c r="G24" s="28">
        <f t="array" ref="G24">IFERROR(INDEX(Tableau3[Prix Total],SMALL(IF(Tableau3[Num Commande]=BONCMD!$C$11,ROW(Tableau3[Prix Total])-5),ROW()-23)),"")</f>
        <v>150000</v>
      </c>
    </row>
    <row r="25" spans="1:7" x14ac:dyDescent="0.25">
      <c r="B25" s="23" t="str">
        <f>IF(C25&lt;&gt;"",ROW()-23,"")</f>
        <v/>
      </c>
      <c r="C25" s="23" t="str">
        <f t="array" ref="C25">IFERROR(INDEX(Tableau3[Num Article],SMALL(IF(Tableau3[Num Commande]=BONCMD!$C$11,ROW(Tableau3[Num Article])-5),ROW()-23)),"")</f>
        <v/>
      </c>
      <c r="D25" s="23" t="str">
        <f t="array" ref="D25">IFERROR(INDEX(Tableau3[Nom],SMALL(IF(Tableau3[Num Commande]=BONCMD!$C$11,ROW(Tableau3[Nom])-5),ROW()-23)),"")</f>
        <v/>
      </c>
      <c r="E25" s="23" t="str">
        <f t="array" ref="E25">IFERROR(INDEX(Tableau3[Quantite],SMALL(IF(Tableau3[Num Commande]=BONCMD!$C$11,ROW(Tableau3[Quantite])-5),ROW()-23)),"")</f>
        <v/>
      </c>
      <c r="F25" s="24" t="str">
        <f t="array" ref="F25">IFERROR(INDEX(Tableau3[Prix],SMALL(IF(Tableau3[Num Commande]=BONCMD!$C$11,ROW(Tableau3[Prix])-5),ROW()-23)),"")</f>
        <v/>
      </c>
      <c r="G25" s="28" t="str">
        <f t="array" ref="G25">IFERROR(INDEX(Tableau3[Prix Total],SMALL(IF(Tableau3[Num Commande]=BONCMD!$C$11,ROW(Tableau3[Prix Total])-5),ROW()-23)),"")</f>
        <v/>
      </c>
    </row>
    <row r="26" spans="1:7" x14ac:dyDescent="0.25">
      <c r="B26" s="23" t="str">
        <f t="shared" ref="B26:B47" si="0">IF(C26&lt;&gt;"",ROW()-23,"")</f>
        <v/>
      </c>
      <c r="C26" s="23" t="str">
        <f t="array" ref="C26">IFERROR(INDEX(Tableau3[Num Article],SMALL(IF(Tableau3[Num Commande]=BONCMD!$C$11,ROW(Tableau3[Num Article])-5),ROW()-23)),"")</f>
        <v/>
      </c>
      <c r="D26" s="23" t="str">
        <f t="array" ref="D26">IFERROR(INDEX(Tableau3[Nom],SMALL(IF(Tableau3[Num Commande]=BONCMD!$C$11,ROW(Tableau3[Nom])-5),ROW()-23)),"")</f>
        <v/>
      </c>
      <c r="E26" s="23" t="str">
        <f t="array" ref="E26">IFERROR(INDEX(Tableau3[Quantite],SMALL(IF(Tableau3[Num Commande]=BONCMD!$C$11,ROW(Tableau3[Quantite])-5),ROW()-23)),"")</f>
        <v/>
      </c>
      <c r="F26" s="24" t="str">
        <f t="array" ref="F26">IFERROR(INDEX(Tableau3[Prix],SMALL(IF(Tableau3[Num Commande]=BONCMD!$C$11,ROW(Tableau3[Prix])-5),ROW()-23)),"")</f>
        <v/>
      </c>
      <c r="G26" s="28" t="str">
        <f t="array" ref="G26">IFERROR(INDEX(Tableau3[Prix Total],SMALL(IF(Tableau3[Num Commande]=BONCMD!$C$11,ROW(Tableau3[Prix Total])-5),ROW()-23)),"")</f>
        <v/>
      </c>
    </row>
    <row r="27" spans="1:7" x14ac:dyDescent="0.25">
      <c r="A27" s="27"/>
      <c r="B27" s="23" t="str">
        <f t="shared" si="0"/>
        <v/>
      </c>
      <c r="C27" s="23" t="str">
        <f t="array" ref="C27">IFERROR(INDEX(Tableau3[Num Article],SMALL(IF(Tableau3[Num Commande]=BONCMD!$C$11,ROW(Tableau3[Num Article])-5),ROW()-23)),"")</f>
        <v/>
      </c>
      <c r="D27" s="23" t="str">
        <f t="array" ref="D27">IFERROR(INDEX(Tableau3[Nom],SMALL(IF(Tableau3[Num Commande]=BONCMD!$C$11,ROW(Tableau3[Nom])-5),ROW()-23)),"")</f>
        <v/>
      </c>
      <c r="E27" s="23" t="str">
        <f t="array" ref="E27">IFERROR(INDEX(Tableau3[Quantite],SMALL(IF(Tableau3[Num Commande]=BONCMD!$C$11,ROW(Tableau3[Quantite])-5),ROW()-23)),"")</f>
        <v/>
      </c>
      <c r="F27" s="24" t="str">
        <f t="array" ref="F27">IFERROR(INDEX(Tableau3[Prix],SMALL(IF(Tableau3[Num Commande]=BONCMD!$C$11,ROW(Tableau3[Prix])-5),ROW()-23)),"")</f>
        <v/>
      </c>
      <c r="G27" s="28" t="str">
        <f t="array" ref="G27">IFERROR(INDEX(Tableau3[Prix Total],SMALL(IF(Tableau3[Num Commande]=BONCMD!$C$11,ROW(Tableau3[Prix Total])-5),ROW()-23)),"")</f>
        <v/>
      </c>
    </row>
    <row r="28" spans="1:7" x14ac:dyDescent="0.25">
      <c r="A28" s="27"/>
      <c r="B28" s="23" t="str">
        <f t="shared" si="0"/>
        <v/>
      </c>
      <c r="C28" s="23" t="str">
        <f t="array" ref="C28">IFERROR(INDEX(Tableau3[Num Article],SMALL(IF(Tableau3[Num Commande]=BONCMD!$C$11,ROW(Tableau3[Num Article])-5),ROW()-23)),"")</f>
        <v/>
      </c>
      <c r="D28" s="23" t="str">
        <f t="array" ref="D28">IFERROR(INDEX(Tableau3[Nom],SMALL(IF(Tableau3[Num Commande]=BONCMD!$C$11,ROW(Tableau3[Nom])-5),ROW()-23)),"")</f>
        <v/>
      </c>
      <c r="E28" s="23" t="str">
        <f t="array" ref="E28">IFERROR(INDEX(Tableau3[Quantite],SMALL(IF(Tableau3[Num Commande]=BONCMD!$C$11,ROW(Tableau3[Quantite])-5),ROW()-23)),"")</f>
        <v/>
      </c>
      <c r="F28" s="24" t="str">
        <f t="array" ref="F28">IFERROR(INDEX(Tableau3[Prix],SMALL(IF(Tableau3[Num Commande]=BONCMD!$C$11,ROW(Tableau3[Prix])-5),ROW()-23)),"")</f>
        <v/>
      </c>
      <c r="G28" s="28" t="str">
        <f t="array" ref="G28">IFERROR(INDEX(Tableau3[Prix Total],SMALL(IF(Tableau3[Num Commande]=BONCMD!$C$11,ROW(Tableau3[Prix Total])-5),ROW()-23)),"")</f>
        <v/>
      </c>
    </row>
    <row r="29" spans="1:7" x14ac:dyDescent="0.25">
      <c r="A29" s="27"/>
      <c r="B29" s="23" t="str">
        <f t="shared" si="0"/>
        <v/>
      </c>
      <c r="C29" s="23" t="str">
        <f t="array" ref="C29">IFERROR(INDEX(Tableau3[Num Article],SMALL(IF(Tableau3[Num Commande]=BONCMD!$C$11,ROW(Tableau3[Num Article])-5),ROW()-23)),"")</f>
        <v/>
      </c>
      <c r="D29" s="23" t="str">
        <f t="array" ref="D29">IFERROR(INDEX(Tableau3[Nom],SMALL(IF(Tableau3[Num Commande]=BONCMD!$C$11,ROW(Tableau3[Nom])-5),ROW()-23)),"")</f>
        <v/>
      </c>
      <c r="E29" s="23" t="str">
        <f t="array" ref="E29">IFERROR(INDEX(Tableau3[Quantite],SMALL(IF(Tableau3[Num Commande]=BONCMD!$C$11,ROW(Tableau3[Quantite])-5),ROW()-23)),"")</f>
        <v/>
      </c>
      <c r="F29" s="24" t="str">
        <f t="array" ref="F29">IFERROR(INDEX(Tableau3[Prix],SMALL(IF(Tableau3[Num Commande]=BONCMD!$C$11,ROW(Tableau3[Prix])-5),ROW()-23)),"")</f>
        <v/>
      </c>
      <c r="G29" s="28" t="str">
        <f t="array" ref="G29">IFERROR(INDEX(Tableau3[Prix Total],SMALL(IF(Tableau3[Num Commande]=BONCMD!$C$11,ROW(Tableau3[Prix Total])-5),ROW()-23)),"")</f>
        <v/>
      </c>
    </row>
    <row r="30" spans="1:7" x14ac:dyDescent="0.25">
      <c r="A30" s="27"/>
      <c r="B30" s="23" t="str">
        <f t="shared" si="0"/>
        <v/>
      </c>
      <c r="C30" s="23" t="str">
        <f t="array" ref="C30">IFERROR(INDEX(Tableau3[Num Article],SMALL(IF(Tableau3[Num Commande]=BONCMD!$C$11,ROW(Tableau3[Num Article])-5),ROW()-23)),"")</f>
        <v/>
      </c>
      <c r="D30" s="23" t="str">
        <f t="array" ref="D30">IFERROR(INDEX(Tableau3[Nom],SMALL(IF(Tableau3[Num Commande]=BONCMD!$C$11,ROW(Tableau3[Nom])-5),ROW()-23)),"")</f>
        <v/>
      </c>
      <c r="E30" s="23" t="str">
        <f t="array" ref="E30">IFERROR(INDEX(Tableau3[Quantite],SMALL(IF(Tableau3[Num Commande]=BONCMD!$C$11,ROW(Tableau3[Quantite])-5),ROW()-23)),"")</f>
        <v/>
      </c>
      <c r="F30" s="24" t="str">
        <f t="array" ref="F30">IFERROR(INDEX(Tableau3[Prix],SMALL(IF(Tableau3[Num Commande]=BONCMD!$C$11,ROW(Tableau3[Prix])-5),ROW()-23)),"")</f>
        <v/>
      </c>
      <c r="G30" s="28" t="str">
        <f t="array" ref="G30">IFERROR(INDEX(Tableau3[Prix Total],SMALL(IF(Tableau3[Num Commande]=BONCMD!$C$11,ROW(Tableau3[Prix Total])-5),ROW()-23)),"")</f>
        <v/>
      </c>
    </row>
    <row r="31" spans="1:7" x14ac:dyDescent="0.25">
      <c r="A31" s="27"/>
      <c r="B31" s="23" t="str">
        <f t="shared" si="0"/>
        <v/>
      </c>
      <c r="C31" s="23" t="str">
        <f t="array" ref="C31">IFERROR(INDEX(Tableau3[Num Article],SMALL(IF(Tableau3[Num Commande]=BONCMD!$C$11,ROW(Tableau3[Num Article])-5),ROW()-23)),"")</f>
        <v/>
      </c>
      <c r="D31" s="23" t="str">
        <f t="array" ref="D31">IFERROR(INDEX(Tableau3[Nom],SMALL(IF(Tableau3[Num Commande]=BONCMD!$C$11,ROW(Tableau3[Nom])-5),ROW()-23)),"")</f>
        <v/>
      </c>
      <c r="E31" s="23" t="str">
        <f t="array" ref="E31">IFERROR(INDEX(Tableau3[Quantite],SMALL(IF(Tableau3[Num Commande]=BONCMD!$C$11,ROW(Tableau3[Quantite])-5),ROW()-23)),"")</f>
        <v/>
      </c>
      <c r="F31" s="24" t="str">
        <f t="array" ref="F31">IFERROR(INDEX(Tableau3[Prix],SMALL(IF(Tableau3[Num Commande]=BONCMD!$C$11,ROW(Tableau3[Prix])-5),ROW()-23)),"")</f>
        <v/>
      </c>
      <c r="G31" s="28" t="str">
        <f t="array" ref="G31">IFERROR(INDEX(Tableau3[Prix Total],SMALL(IF(Tableau3[Num Commande]=BONCMD!$C$11,ROW(Tableau3[Prix Total])-5),ROW()-23)),"")</f>
        <v/>
      </c>
    </row>
    <row r="32" spans="1:7" x14ac:dyDescent="0.25">
      <c r="A32" s="27"/>
      <c r="B32" s="23" t="str">
        <f t="shared" si="0"/>
        <v/>
      </c>
      <c r="C32" s="23" t="str">
        <f t="array" ref="C32">IFERROR(INDEX(Tableau3[Num Article],SMALL(IF(Tableau3[Num Commande]=BONCMD!$C$11,ROW(Tableau3[Num Article])-5),ROW()-23)),"")</f>
        <v/>
      </c>
      <c r="D32" s="23" t="str">
        <f t="array" ref="D32">IFERROR(INDEX(Tableau3[Nom],SMALL(IF(Tableau3[Num Commande]=BONCMD!$C$11,ROW(Tableau3[Nom])-5),ROW()-23)),"")</f>
        <v/>
      </c>
      <c r="E32" s="23" t="str">
        <f t="array" ref="E32">IFERROR(INDEX(Tableau3[Quantite],SMALL(IF(Tableau3[Num Commande]=BONCMD!$C$11,ROW(Tableau3[Quantite])-5),ROW()-23)),"")</f>
        <v/>
      </c>
      <c r="F32" s="24" t="str">
        <f t="array" ref="F32">IFERROR(INDEX(Tableau3[Prix],SMALL(IF(Tableau3[Num Commande]=BONCMD!$C$11,ROW(Tableau3[Prix])-5),ROW()-23)),"")</f>
        <v/>
      </c>
      <c r="G32" s="28" t="str">
        <f t="array" ref="G32">IFERROR(INDEX(Tableau3[Prix Total],SMALL(IF(Tableau3[Num Commande]=BONCMD!$C$11,ROW(Tableau3[Prix Total])-5),ROW()-23)),"")</f>
        <v/>
      </c>
    </row>
    <row r="33" spans="1:7" x14ac:dyDescent="0.25">
      <c r="A33" s="27"/>
      <c r="B33" s="23" t="str">
        <f t="shared" si="0"/>
        <v/>
      </c>
      <c r="C33" s="23" t="str">
        <f t="array" ref="C33">IFERROR(INDEX(Tableau3[Num Article],SMALL(IF(Tableau3[Num Commande]=BONCMD!$C$11,ROW(Tableau3[Num Article])-5),ROW()-23)),"")</f>
        <v/>
      </c>
      <c r="D33" s="23" t="str">
        <f t="array" ref="D33">IFERROR(INDEX(Tableau3[Nom],SMALL(IF(Tableau3[Num Commande]=BONCMD!$C$11,ROW(Tableau3[Nom])-5),ROW()-23)),"")</f>
        <v/>
      </c>
      <c r="E33" s="23" t="str">
        <f t="array" ref="E33">IFERROR(INDEX(Tableau3[Quantite],SMALL(IF(Tableau3[Num Commande]=BONCMD!$C$11,ROW(Tableau3[Quantite])-5),ROW()-23)),"")</f>
        <v/>
      </c>
      <c r="F33" s="24" t="str">
        <f t="array" ref="F33">IFERROR(INDEX(Tableau3[Prix],SMALL(IF(Tableau3[Num Commande]=BONCMD!$C$11,ROW(Tableau3[Prix])-5),ROW()-23)),"")</f>
        <v/>
      </c>
      <c r="G33" s="28" t="str">
        <f t="array" ref="G33">IFERROR(INDEX(Tableau3[Prix Total],SMALL(IF(Tableau3[Num Commande]=BONCMD!$C$11,ROW(Tableau3[Prix Total])-5),ROW()-23)),"")</f>
        <v/>
      </c>
    </row>
    <row r="34" spans="1:7" x14ac:dyDescent="0.25">
      <c r="A34" s="27"/>
      <c r="B34" s="23" t="str">
        <f t="shared" si="0"/>
        <v/>
      </c>
      <c r="C34" s="23" t="str">
        <f t="array" ref="C34">IFERROR(INDEX(Tableau3[Num Article],SMALL(IF(Tableau3[Num Commande]=BONCMD!$C$11,ROW(Tableau3[Num Article])-5),ROW()-23)),"")</f>
        <v/>
      </c>
      <c r="D34" s="23" t="str">
        <f t="array" ref="D34">IFERROR(INDEX(Tableau3[Nom],SMALL(IF(Tableau3[Num Commande]=BONCMD!$C$11,ROW(Tableau3[Nom])-5),ROW()-23)),"")</f>
        <v/>
      </c>
      <c r="E34" s="23" t="str">
        <f t="array" ref="E34">IFERROR(INDEX(Tableau3[Quantite],SMALL(IF(Tableau3[Num Commande]=BONCMD!$C$11,ROW(Tableau3[Quantite])-5),ROW()-23)),"")</f>
        <v/>
      </c>
      <c r="F34" s="24" t="str">
        <f t="array" ref="F34">IFERROR(INDEX(Tableau3[Prix],SMALL(IF(Tableau3[Num Commande]=BONCMD!$C$11,ROW(Tableau3[Prix])-5),ROW()-23)),"")</f>
        <v/>
      </c>
      <c r="G34" s="28" t="str">
        <f t="array" ref="G34">IFERROR(INDEX(Tableau3[Prix Total],SMALL(IF(Tableau3[Num Commande]=BONCMD!$C$11,ROW(Tableau3[Prix Total])-5),ROW()-23)),"")</f>
        <v/>
      </c>
    </row>
    <row r="35" spans="1:7" x14ac:dyDescent="0.25">
      <c r="A35" s="27"/>
      <c r="B35" s="23" t="str">
        <f t="shared" si="0"/>
        <v/>
      </c>
      <c r="C35" s="23" t="str">
        <f t="array" ref="C35">IFERROR(INDEX(Tableau3[Num Article],SMALL(IF(Tableau3[Num Commande]=BONCMD!$C$11,ROW(Tableau3[Num Article])-5),ROW()-23)),"")</f>
        <v/>
      </c>
      <c r="D35" s="23" t="str">
        <f t="array" ref="D35">IFERROR(INDEX(Tableau3[Nom],SMALL(IF(Tableau3[Num Commande]=BONCMD!$C$11,ROW(Tableau3[Nom])-5),ROW()-23)),"")</f>
        <v/>
      </c>
      <c r="E35" s="23" t="str">
        <f t="array" ref="E35">IFERROR(INDEX(Tableau3[Quantite],SMALL(IF(Tableau3[Num Commande]=BONCMD!$C$11,ROW(Tableau3[Quantite])-5),ROW()-23)),"")</f>
        <v/>
      </c>
      <c r="F35" s="24" t="str">
        <f t="array" ref="F35">IFERROR(INDEX(Tableau3[Prix],SMALL(IF(Tableau3[Num Commande]=BONCMD!$C$11,ROW(Tableau3[Prix])-5),ROW()-23)),"")</f>
        <v/>
      </c>
      <c r="G35" s="28" t="str">
        <f t="array" ref="G35">IFERROR(INDEX(Tableau3[Prix Total],SMALL(IF(Tableau3[Num Commande]=BONCMD!$C$11,ROW(Tableau3[Prix Total])-5),ROW()-23)),"")</f>
        <v/>
      </c>
    </row>
    <row r="36" spans="1:7" x14ac:dyDescent="0.25">
      <c r="A36" s="27"/>
      <c r="B36" s="23" t="str">
        <f t="shared" si="0"/>
        <v/>
      </c>
      <c r="C36" s="23" t="str">
        <f t="array" ref="C36">IFERROR(INDEX(Tableau3[Num Article],SMALL(IF(Tableau3[Num Commande]=BONCMD!$C$11,ROW(Tableau3[Num Article])-5),ROW()-23)),"")</f>
        <v/>
      </c>
      <c r="D36" s="23" t="str">
        <f t="array" ref="D36">IFERROR(INDEX(Tableau3[Nom],SMALL(IF(Tableau3[Num Commande]=BONCMD!$C$11,ROW(Tableau3[Nom])-5),ROW()-23)),"")</f>
        <v/>
      </c>
      <c r="E36" s="23" t="str">
        <f t="array" ref="E36">IFERROR(INDEX(Tableau3[Quantite],SMALL(IF(Tableau3[Num Commande]=BONCMD!$C$11,ROW(Tableau3[Quantite])-5),ROW()-23)),"")</f>
        <v/>
      </c>
      <c r="F36" s="24" t="str">
        <f t="array" ref="F36">IFERROR(INDEX(Tableau3[Prix],SMALL(IF(Tableau3[Num Commande]=BONCMD!$C$11,ROW(Tableau3[Prix])-5),ROW()-23)),"")</f>
        <v/>
      </c>
      <c r="G36" s="28" t="str">
        <f t="array" ref="G36">IFERROR(INDEX(Tableau3[Prix Total],SMALL(IF(Tableau3[Num Commande]=BONCMD!$C$11,ROW(Tableau3[Prix Total])-5),ROW()-23)),"")</f>
        <v/>
      </c>
    </row>
    <row r="37" spans="1:7" x14ac:dyDescent="0.25">
      <c r="A37" s="27"/>
      <c r="B37" s="23" t="str">
        <f t="shared" si="0"/>
        <v/>
      </c>
      <c r="C37" s="23" t="str">
        <f t="array" ref="C37">IFERROR(INDEX(Tableau3[Num Article],SMALL(IF(Tableau3[Num Commande]=BONCMD!$C$11,ROW(Tableau3[Num Article])-5),ROW()-23)),"")</f>
        <v/>
      </c>
      <c r="D37" s="23" t="str">
        <f t="array" ref="D37">IFERROR(INDEX(Tableau3[Nom],SMALL(IF(Tableau3[Num Commande]=BONCMD!$C$11,ROW(Tableau3[Nom])-5),ROW()-23)),"")</f>
        <v/>
      </c>
      <c r="E37" s="23" t="str">
        <f t="array" ref="E37">IFERROR(INDEX(Tableau3[Quantite],SMALL(IF(Tableau3[Num Commande]=BONCMD!$C$11,ROW(Tableau3[Quantite])-5),ROW()-23)),"")</f>
        <v/>
      </c>
      <c r="F37" s="24" t="str">
        <f t="array" ref="F37">IFERROR(INDEX(Tableau3[Prix],SMALL(IF(Tableau3[Num Commande]=BONCMD!$C$11,ROW(Tableau3[Prix])-5),ROW()-23)),"")</f>
        <v/>
      </c>
      <c r="G37" s="28" t="str">
        <f t="array" ref="G37">IFERROR(INDEX(Tableau3[Prix Total],SMALL(IF(Tableau3[Num Commande]=BONCMD!$C$11,ROW(Tableau3[Prix Total])-5),ROW()-23)),"")</f>
        <v/>
      </c>
    </row>
    <row r="38" spans="1:7" x14ac:dyDescent="0.25">
      <c r="A38" s="27"/>
      <c r="B38" s="23" t="str">
        <f t="shared" si="0"/>
        <v/>
      </c>
      <c r="C38" s="23" t="str">
        <f t="array" ref="C38">IFERROR(INDEX(Tableau3[Num Article],SMALL(IF(Tableau3[Num Commande]=BONCMD!$C$11,ROW(Tableau3[Num Article])-5),ROW()-23)),"")</f>
        <v/>
      </c>
      <c r="D38" s="23" t="str">
        <f t="array" ref="D38">IFERROR(INDEX(Tableau3[Nom],SMALL(IF(Tableau3[Num Commande]=BONCMD!$C$11,ROW(Tableau3[Nom])-5),ROW()-23)),"")</f>
        <v/>
      </c>
      <c r="E38" s="23" t="str">
        <f t="array" ref="E38">IFERROR(INDEX(Tableau3[Quantite],SMALL(IF(Tableau3[Num Commande]=BONCMD!$C$11,ROW(Tableau3[Quantite])-5),ROW()-23)),"")</f>
        <v/>
      </c>
      <c r="F38" s="24" t="str">
        <f t="array" ref="F38">IFERROR(INDEX(Tableau3[Prix],SMALL(IF(Tableau3[Num Commande]=BONCMD!$C$11,ROW(Tableau3[Prix])-5),ROW()-23)),"")</f>
        <v/>
      </c>
      <c r="G38" s="28" t="str">
        <f t="array" ref="G38">IFERROR(INDEX(Tableau3[Prix Total],SMALL(IF(Tableau3[Num Commande]=BONCMD!$C$11,ROW(Tableau3[Prix Total])-5),ROW()-23)),"")</f>
        <v/>
      </c>
    </row>
    <row r="39" spans="1:7" x14ac:dyDescent="0.25">
      <c r="A39" s="27"/>
      <c r="B39" s="23" t="str">
        <f t="shared" si="0"/>
        <v/>
      </c>
      <c r="C39" s="23" t="str">
        <f t="array" ref="C39">IFERROR(INDEX(Tableau3[Num Article],SMALL(IF(Tableau3[Num Commande]=BONCMD!$C$11,ROW(Tableau3[Num Article])-5),ROW()-23)),"")</f>
        <v/>
      </c>
      <c r="D39" s="23" t="str">
        <f t="array" ref="D39">IFERROR(INDEX(Tableau3[Nom],SMALL(IF(Tableau3[Num Commande]=BONCMD!$C$11,ROW(Tableau3[Nom])-5),ROW()-23)),"")</f>
        <v/>
      </c>
      <c r="E39" s="23" t="str">
        <f t="array" ref="E39">IFERROR(INDEX(Tableau3[Quantite],SMALL(IF(Tableau3[Num Commande]=BONCMD!$C$11,ROW(Tableau3[Quantite])-5),ROW()-23)),"")</f>
        <v/>
      </c>
      <c r="F39" s="24" t="str">
        <f t="array" ref="F39">IFERROR(INDEX(Tableau3[Prix],SMALL(IF(Tableau3[Num Commande]=BONCMD!$C$11,ROW(Tableau3[Prix])-5),ROW()-23)),"")</f>
        <v/>
      </c>
      <c r="G39" s="28" t="str">
        <f t="array" ref="G39">IFERROR(INDEX(Tableau3[Prix Total],SMALL(IF(Tableau3[Num Commande]=BONCMD!$C$11,ROW(Tableau3[Prix Total])-5),ROW()-23)),"")</f>
        <v/>
      </c>
    </row>
    <row r="40" spans="1:7" x14ac:dyDescent="0.25">
      <c r="A40" s="27"/>
      <c r="B40" s="23" t="str">
        <f t="shared" si="0"/>
        <v/>
      </c>
      <c r="C40" s="23" t="str">
        <f t="array" ref="C40">IFERROR(INDEX(Tableau3[Num Article],SMALL(IF(Tableau3[Num Commande]=BONCMD!$C$11,ROW(Tableau3[Num Article])-5),ROW()-23)),"")</f>
        <v/>
      </c>
      <c r="D40" s="23" t="str">
        <f t="array" ref="D40">IFERROR(INDEX(Tableau3[Nom],SMALL(IF(Tableau3[Num Commande]=BONCMD!$C$11,ROW(Tableau3[Nom])-5),ROW()-23)),"")</f>
        <v/>
      </c>
      <c r="E40" s="23" t="str">
        <f t="array" ref="E40">IFERROR(INDEX(Tableau3[Quantite],SMALL(IF(Tableau3[Num Commande]=BONCMD!$C$11,ROW(Tableau3[Quantite])-5),ROW()-23)),"")</f>
        <v/>
      </c>
      <c r="F40" s="24" t="str">
        <f t="array" ref="F40">IFERROR(INDEX(Tableau3[Prix],SMALL(IF(Tableau3[Num Commande]=BONCMD!$C$11,ROW(Tableau3[Prix])-5),ROW()-23)),"")</f>
        <v/>
      </c>
      <c r="G40" s="28" t="str">
        <f t="array" ref="G40">IFERROR(INDEX(Tableau3[Prix Total],SMALL(IF(Tableau3[Num Commande]=BONCMD!$C$11,ROW(Tableau3[Prix Total])-5),ROW()-23)),"")</f>
        <v/>
      </c>
    </row>
    <row r="41" spans="1:7" x14ac:dyDescent="0.25">
      <c r="A41" s="27"/>
      <c r="B41" s="23" t="str">
        <f t="shared" si="0"/>
        <v/>
      </c>
      <c r="C41" s="23" t="str">
        <f t="array" ref="C41">IFERROR(INDEX(Tableau3[Num Article],SMALL(IF(Tableau3[Num Commande]=BONCMD!$C$11,ROW(Tableau3[Num Article])-5),ROW()-23)),"")</f>
        <v/>
      </c>
      <c r="D41" s="23" t="str">
        <f t="array" ref="D41">IFERROR(INDEX(Tableau3[Nom],SMALL(IF(Tableau3[Num Commande]=BONCMD!$C$11,ROW(Tableau3[Nom])-5),ROW()-23)),"")</f>
        <v/>
      </c>
      <c r="E41" s="23" t="str">
        <f t="array" ref="E41">IFERROR(INDEX(Tableau3[Quantite],SMALL(IF(Tableau3[Num Commande]=BONCMD!$C$11,ROW(Tableau3[Quantite])-5),ROW()-23)),"")</f>
        <v/>
      </c>
      <c r="F41" s="24" t="str">
        <f t="array" ref="F41">IFERROR(INDEX(Tableau3[Prix],SMALL(IF(Tableau3[Num Commande]=BONCMD!$C$11,ROW(Tableau3[Prix])-5),ROW()-23)),"")</f>
        <v/>
      </c>
      <c r="G41" s="28" t="str">
        <f t="array" ref="G41">IFERROR(INDEX(Tableau3[Prix Total],SMALL(IF(Tableau3[Num Commande]=BONCMD!$C$11,ROW(Tableau3[Prix Total])-5),ROW()-23)),"")</f>
        <v/>
      </c>
    </row>
    <row r="42" spans="1:7" x14ac:dyDescent="0.25">
      <c r="A42" s="27"/>
      <c r="B42" s="23" t="str">
        <f t="shared" si="0"/>
        <v/>
      </c>
      <c r="C42" s="23" t="str">
        <f t="array" ref="C42">IFERROR(INDEX(Tableau3[Num Article],SMALL(IF(Tableau3[Num Commande]=BONCMD!$C$11,ROW(Tableau3[Num Article])-5),ROW()-23)),"")</f>
        <v/>
      </c>
      <c r="D42" s="23" t="str">
        <f t="array" ref="D42">IFERROR(INDEX(Tableau3[Nom],SMALL(IF(Tableau3[Num Commande]=BONCMD!$C$11,ROW(Tableau3[Nom])-5),ROW()-23)),"")</f>
        <v/>
      </c>
      <c r="E42" s="23" t="str">
        <f t="array" ref="E42">IFERROR(INDEX(Tableau3[Quantite],SMALL(IF(Tableau3[Num Commande]=BONCMD!$C$11,ROW(Tableau3[Quantite])-5),ROW()-23)),"")</f>
        <v/>
      </c>
      <c r="F42" s="24" t="str">
        <f t="array" ref="F42">IFERROR(INDEX(Tableau3[Prix],SMALL(IF(Tableau3[Num Commande]=BONCMD!$C$11,ROW(Tableau3[Prix])-5),ROW()-23)),"")</f>
        <v/>
      </c>
      <c r="G42" s="28" t="str">
        <f t="array" ref="G42">IFERROR(INDEX(Tableau3[Prix Total],SMALL(IF(Tableau3[Num Commande]=BONCMD!$C$11,ROW(Tableau3[Prix Total])-5),ROW()-23)),"")</f>
        <v/>
      </c>
    </row>
    <row r="43" spans="1:7" x14ac:dyDescent="0.25">
      <c r="A43" s="27"/>
      <c r="B43" s="23" t="str">
        <f t="shared" si="0"/>
        <v/>
      </c>
      <c r="C43" s="23" t="str">
        <f t="array" ref="C43">IFERROR(INDEX(Tableau3[Num Article],SMALL(IF(Tableau3[Num Commande]=BONCMD!$C$11,ROW(Tableau3[Num Article])-5),ROW()-23)),"")</f>
        <v/>
      </c>
      <c r="D43" s="23" t="str">
        <f t="array" ref="D43">IFERROR(INDEX(Tableau3[Nom],SMALL(IF(Tableau3[Num Commande]=BONCMD!$C$11,ROW(Tableau3[Nom])-5),ROW()-23)),"")</f>
        <v/>
      </c>
      <c r="E43" s="23" t="str">
        <f t="array" ref="E43">IFERROR(INDEX(Tableau3[Quantite],SMALL(IF(Tableau3[Num Commande]=BONCMD!$C$11,ROW(Tableau3[Quantite])-5),ROW()-23)),"")</f>
        <v/>
      </c>
      <c r="F43" s="24" t="str">
        <f t="array" ref="F43">IFERROR(INDEX(Tableau3[Prix],SMALL(IF(Tableau3[Num Commande]=BONCMD!$C$11,ROW(Tableau3[Prix])-5),ROW()-23)),"")</f>
        <v/>
      </c>
      <c r="G43" s="28" t="str">
        <f t="array" ref="G43">IFERROR(INDEX(Tableau3[Prix Total],SMALL(IF(Tableau3[Num Commande]=BONCMD!$C$11,ROW(Tableau3[Prix Total])-5),ROW()-23)),"")</f>
        <v/>
      </c>
    </row>
    <row r="44" spans="1:7" x14ac:dyDescent="0.25">
      <c r="A44" s="27"/>
      <c r="B44" s="23" t="str">
        <f t="shared" si="0"/>
        <v/>
      </c>
      <c r="C44" s="23" t="str">
        <f t="array" ref="C44">IFERROR(INDEX(Tableau3[Num Article],SMALL(IF(Tableau3[Num Commande]=BONCMD!$C$11,ROW(Tableau3[Num Article])-5),ROW()-23)),"")</f>
        <v/>
      </c>
      <c r="D44" s="23" t="str">
        <f t="array" ref="D44">IFERROR(INDEX(Tableau3[Nom],SMALL(IF(Tableau3[Num Commande]=BONCMD!$C$11,ROW(Tableau3[Nom])-5),ROW()-23)),"")</f>
        <v/>
      </c>
      <c r="E44" s="23" t="str">
        <f t="array" ref="E44">IFERROR(INDEX(Tableau3[Quantite],SMALL(IF(Tableau3[Num Commande]=BONCMD!$C$11,ROW(Tableau3[Quantite])-5),ROW()-23)),"")</f>
        <v/>
      </c>
      <c r="F44" s="24" t="str">
        <f t="array" ref="F44">IFERROR(INDEX(Tableau3[Prix],SMALL(IF(Tableau3[Num Commande]=BONCMD!$C$11,ROW(Tableau3[Prix])-5),ROW()-23)),"")</f>
        <v/>
      </c>
      <c r="G44" s="28" t="str">
        <f t="array" ref="G44">IFERROR(INDEX(Tableau3[Prix Total],SMALL(IF(Tableau3[Num Commande]=BONCMD!$C$11,ROW(Tableau3[Prix Total])-5),ROW()-23)),"")</f>
        <v/>
      </c>
    </row>
    <row r="45" spans="1:7" x14ac:dyDescent="0.25">
      <c r="A45" s="27"/>
      <c r="B45" s="23" t="str">
        <f t="shared" si="0"/>
        <v/>
      </c>
      <c r="C45" s="23" t="str">
        <f t="array" ref="C45">IFERROR(INDEX(Tableau3[Num Article],SMALL(IF(Tableau3[Num Commande]=BONCMD!$C$11,ROW(Tableau3[Num Article])-5),ROW()-23)),"")</f>
        <v/>
      </c>
      <c r="D45" s="23" t="str">
        <f t="array" ref="D45">IFERROR(INDEX(Tableau3[Nom],SMALL(IF(Tableau3[Num Commande]=BONCMD!$C$11,ROW(Tableau3[Nom])-5),ROW()-23)),"")</f>
        <v/>
      </c>
      <c r="E45" s="23" t="str">
        <f t="array" ref="E45">IFERROR(INDEX(Tableau3[Quantite],SMALL(IF(Tableau3[Num Commande]=BONCMD!$C$11,ROW(Tableau3[Quantite])-5),ROW()-23)),"")</f>
        <v/>
      </c>
      <c r="F45" s="24" t="str">
        <f t="array" ref="F45">IFERROR(INDEX(Tableau3[Prix],SMALL(IF(Tableau3[Num Commande]=BONCMD!$C$11,ROW(Tableau3[Prix])-5),ROW()-23)),"")</f>
        <v/>
      </c>
      <c r="G45" s="28" t="str">
        <f t="array" ref="G45">IFERROR(INDEX(Tableau3[Prix Total],SMALL(IF(Tableau3[Num Commande]=BONCMD!$C$11,ROW(Tableau3[Prix Total])-5),ROW()-23)),"")</f>
        <v/>
      </c>
    </row>
    <row r="46" spans="1:7" x14ac:dyDescent="0.25">
      <c r="A46" s="27"/>
      <c r="B46" s="23" t="str">
        <f t="shared" si="0"/>
        <v/>
      </c>
      <c r="C46" s="23" t="str">
        <f t="array" ref="C46">IFERROR(INDEX(Tableau3[Num Article],SMALL(IF(Tableau3[Num Commande]=BONCMD!$C$11,ROW(Tableau3[Num Article])-5),ROW()-23)),"")</f>
        <v/>
      </c>
      <c r="D46" s="23" t="str">
        <f t="array" ref="D46">IFERROR(INDEX(Tableau3[Nom],SMALL(IF(Tableau3[Num Commande]=BONCMD!$C$11,ROW(Tableau3[Nom])-5),ROW()-23)),"")</f>
        <v/>
      </c>
      <c r="E46" s="23" t="str">
        <f t="array" ref="E46">IFERROR(INDEX(Tableau3[Quantite],SMALL(IF(Tableau3[Num Commande]=BONCMD!$C$11,ROW(Tableau3[Quantite])-5),ROW()-23)),"")</f>
        <v/>
      </c>
      <c r="F46" s="24" t="str">
        <f t="array" ref="F46">IFERROR(INDEX(Tableau3[Prix],SMALL(IF(Tableau3[Num Commande]=BONCMD!$C$11,ROW(Tableau3[Prix])-5),ROW()-23)),"")</f>
        <v/>
      </c>
      <c r="G46" s="28" t="str">
        <f t="array" ref="G46">IFERROR(INDEX(Tableau3[Prix Total],SMALL(IF(Tableau3[Num Commande]=BONCMD!$C$11,ROW(Tableau3[Prix Total])-5),ROW()-23)),"")</f>
        <v/>
      </c>
    </row>
    <row r="47" spans="1:7" x14ac:dyDescent="0.25">
      <c r="A47" s="27"/>
      <c r="B47" s="23" t="str">
        <f t="shared" si="0"/>
        <v/>
      </c>
      <c r="C47" s="23" t="str">
        <f t="array" ref="C47">IFERROR(INDEX(Tableau3[Num Article],SMALL(IF(Tableau3[Num Commande]=BONCMD!$C$11,ROW(Tableau3[Num Article])-5),ROW()-23)),"")</f>
        <v/>
      </c>
      <c r="D47" s="23" t="str">
        <f t="array" ref="D47">IFERROR(INDEX(Tableau3[Nom],SMALL(IF(Tableau3[Num Commande]=BONCMD!$C$11,ROW(Tableau3[Nom])-5),ROW()-23)),"")</f>
        <v/>
      </c>
      <c r="E47" s="23" t="str">
        <f t="array" ref="E47">IFERROR(INDEX(Tableau3[Quantite],SMALL(IF(Tableau3[Num Commande]=BONCMD!$C$11,ROW(Tableau3[Quantite])-5),ROW()-23)),"")</f>
        <v/>
      </c>
      <c r="F47" s="24" t="str">
        <f t="array" ref="F47">IFERROR(INDEX(Tableau3[Prix],SMALL(IF(Tableau3[Num Commande]=BONCMD!$C$11,ROW(Tableau3[Prix])-5),ROW()-23)),"")</f>
        <v/>
      </c>
      <c r="G47" s="28" t="str">
        <f t="array" ref="G47">IFERROR(INDEX(Tableau3[Prix Total],SMALL(IF(Tableau3[Num Commande]=BONCMD!$C$11,ROW(Tableau3[Prix Total])-5),ROW()-23)),"")</f>
        <v/>
      </c>
    </row>
    <row r="48" spans="1:7" x14ac:dyDescent="0.25">
      <c r="A48" s="27"/>
    </row>
    <row r="49" spans="2:7" ht="15.75" thickBot="1" x14ac:dyDescent="0.3">
      <c r="B49" s="10"/>
      <c r="C49" s="10"/>
      <c r="D49" s="10"/>
      <c r="E49" s="10"/>
      <c r="F49" s="10"/>
      <c r="G49" s="10"/>
    </row>
    <row r="51" spans="2:7" ht="15.75" thickBot="1" x14ac:dyDescent="0.3"/>
    <row r="52" spans="2:7" ht="15.75" thickBot="1" x14ac:dyDescent="0.3">
      <c r="F52" s="13" t="s">
        <v>149</v>
      </c>
      <c r="G52" s="14">
        <f>SUM(G24:G49)</f>
        <v>150000</v>
      </c>
    </row>
    <row r="53" spans="2:7" ht="15.75" thickBot="1" x14ac:dyDescent="0.3">
      <c r="F53" s="13" t="s">
        <v>150</v>
      </c>
      <c r="G53" s="14">
        <f>(G52*20)/100</f>
        <v>30000</v>
      </c>
    </row>
    <row r="54" spans="2:7" ht="15.75" thickBot="1" x14ac:dyDescent="0.3">
      <c r="F54" s="13" t="s">
        <v>151</v>
      </c>
      <c r="G54" s="14">
        <f>G52+G53</f>
        <v>180000</v>
      </c>
    </row>
  </sheetData>
  <phoneticPr fontId="2" type="noConversion"/>
  <hyperlinks>
    <hyperlink ref="C20" r:id="rId1" xr:uid="{EDB3B09E-6824-4EEC-BE8C-550D7752C474}"/>
  </hyperlinks>
  <pageMargins left="0.70866141732283472" right="0.70866141732283472" top="0.74803149606299213" bottom="0.74803149606299213" header="0.31496062992125984" footer="0.31496062992125984"/>
  <pageSetup paperSize="9" scale="52" orientation="portrait" r:id="rId2"/>
  <ignoredErrors>
    <ignoredError sqref="B23:G23 B24:C24 B25:G25 B26:B47 E24:G24" calculatedColumn="1"/>
  </ignoredErrors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97D47-33A9-4F31-A95A-9D14CC3C29C0}">
  <sheetPr codeName="Feuil5"/>
  <dimension ref="B2:R103"/>
  <sheetViews>
    <sheetView showGridLines="0" zoomScale="88" workbookViewId="0">
      <selection activeCell="F3" sqref="F3"/>
    </sheetView>
  </sheetViews>
  <sheetFormatPr baseColWidth="10" defaultRowHeight="15" x14ac:dyDescent="0.25"/>
  <cols>
    <col min="1" max="1" width="3.28515625" customWidth="1"/>
    <col min="2" max="2" width="18.140625" customWidth="1"/>
    <col min="3" max="3" width="20.42578125" customWidth="1"/>
    <col min="4" max="4" width="24.5703125" customWidth="1"/>
    <col min="5" max="5" width="15" customWidth="1"/>
    <col min="6" max="6" width="21.7109375" customWidth="1"/>
    <col min="7" max="7" width="13.7109375" customWidth="1"/>
    <col min="10" max="10" width="14.85546875" customWidth="1"/>
    <col min="11" max="11" width="22.42578125" customWidth="1"/>
    <col min="12" max="12" width="16.28515625" customWidth="1"/>
    <col min="13" max="13" width="19.140625" customWidth="1"/>
  </cols>
  <sheetData>
    <row r="2" spans="2:18" ht="48.75" customHeight="1" x14ac:dyDescent="0.25"/>
    <row r="3" spans="2:18" ht="64.5" customHeight="1" x14ac:dyDescent="0.25"/>
    <row r="4" spans="2:18" ht="76.5" customHeight="1" x14ac:dyDescent="0.25"/>
    <row r="5" spans="2:18" x14ac:dyDescent="0.25">
      <c r="B5" s="33" t="s">
        <v>185</v>
      </c>
      <c r="C5" s="1" t="s">
        <v>169</v>
      </c>
      <c r="D5" s="1" t="s">
        <v>170</v>
      </c>
      <c r="E5" s="1" t="s">
        <v>96</v>
      </c>
      <c r="F5" s="1" t="s">
        <v>171</v>
      </c>
      <c r="G5" s="1" t="s">
        <v>155</v>
      </c>
      <c r="H5" s="1" t="s">
        <v>93</v>
      </c>
      <c r="I5" s="1" t="s">
        <v>186</v>
      </c>
      <c r="J5" s="1" t="s">
        <v>168</v>
      </c>
      <c r="K5" s="1" t="s">
        <v>195</v>
      </c>
      <c r="L5" s="1" t="s">
        <v>197</v>
      </c>
      <c r="M5" s="1" t="s">
        <v>92</v>
      </c>
    </row>
    <row r="6" spans="2:18" x14ac:dyDescent="0.25">
      <c r="B6" s="34"/>
      <c r="C6" s="1"/>
      <c r="D6" s="1"/>
      <c r="E6" s="1"/>
      <c r="F6" s="1"/>
      <c r="G6" s="1"/>
      <c r="H6" s="1"/>
      <c r="I6" s="1" t="str">
        <f>IF(Tableau7[[#This Row],[Type]]="Sortie",COUNTIFS(Tableau7[Type],"Sortie",Tableau7[Quantite],"&gt;"&amp;Tableau7[[#This Row],[Quantite]])+1,"")</f>
        <v/>
      </c>
      <c r="J6" s="1"/>
      <c r="K6" s="1"/>
      <c r="L6" s="1"/>
      <c r="M6" s="1"/>
    </row>
    <row r="7" spans="2:18" x14ac:dyDescent="0.25">
      <c r="B7" s="34" t="s">
        <v>176</v>
      </c>
      <c r="C7" s="1" t="s">
        <v>177</v>
      </c>
      <c r="D7" s="1" t="s">
        <v>159</v>
      </c>
      <c r="E7" s="1" t="s">
        <v>108</v>
      </c>
      <c r="F7" s="1"/>
      <c r="G7" s="1" t="s">
        <v>166</v>
      </c>
      <c r="H7" s="1">
        <v>60</v>
      </c>
      <c r="I7" s="1" t="str">
        <f>IF(Tableau7[[#This Row],[Type]]="Sortie",COUNTIFS(Tableau7[Type],"Sortie",Tableau7[Quantite],"&gt;"&amp;Tableau7[[#This Row],[Quantite]])+1,"")</f>
        <v/>
      </c>
      <c r="J7" s="1" t="s">
        <v>188</v>
      </c>
      <c r="K7" s="1"/>
      <c r="L7" s="1"/>
      <c r="M7" s="1"/>
    </row>
    <row r="8" spans="2:18" x14ac:dyDescent="0.25">
      <c r="B8" s="34" t="s">
        <v>178</v>
      </c>
      <c r="C8" s="1" t="s">
        <v>179</v>
      </c>
      <c r="D8" s="1" t="s">
        <v>157</v>
      </c>
      <c r="E8" s="1" t="s">
        <v>97</v>
      </c>
      <c r="F8" s="1"/>
      <c r="G8" s="1" t="s">
        <v>22</v>
      </c>
      <c r="H8" s="1">
        <v>1</v>
      </c>
      <c r="I8" s="1" t="str">
        <f>IF(Tableau7[[#This Row],[Type]]="Sortie",COUNTIFS(Tableau7[Type],"Sortie",Tableau7[Quantite],"&gt;"&amp;Tableau7[[#This Row],[Quantite]])+1,"")</f>
        <v/>
      </c>
      <c r="J8" s="1" t="s">
        <v>188</v>
      </c>
      <c r="K8" s="1"/>
      <c r="L8" s="1"/>
      <c r="M8" s="1"/>
    </row>
    <row r="9" spans="2:18" ht="21.75" customHeight="1" x14ac:dyDescent="0.6">
      <c r="B9" s="34" t="s">
        <v>180</v>
      </c>
      <c r="C9" s="1" t="s">
        <v>181</v>
      </c>
      <c r="D9" s="1" t="s">
        <v>164</v>
      </c>
      <c r="E9" s="1" t="s">
        <v>108</v>
      </c>
      <c r="F9" s="1"/>
      <c r="G9" s="1" t="s">
        <v>144</v>
      </c>
      <c r="H9" s="1">
        <v>90</v>
      </c>
      <c r="I9" s="1" t="str">
        <f>IF(Tableau7[[#This Row],[Type]]="Sortie",COUNTIFS(Tableau7[Type],"Sortie",Tableau7[Quantite],"&gt;"&amp;Tableau7[[#This Row],[Quantite]])+1,"")</f>
        <v/>
      </c>
      <c r="J9" s="1" t="s">
        <v>269</v>
      </c>
      <c r="K9" s="1"/>
      <c r="L9" s="1"/>
      <c r="M9" s="1"/>
      <c r="P9" s="32"/>
      <c r="Q9" s="31"/>
      <c r="R9" s="31"/>
    </row>
    <row r="10" spans="2:18" x14ac:dyDescent="0.25">
      <c r="B10" s="34" t="s">
        <v>180</v>
      </c>
      <c r="C10" s="1" t="s">
        <v>181</v>
      </c>
      <c r="D10" s="1" t="s">
        <v>164</v>
      </c>
      <c r="E10" s="1" t="s">
        <v>108</v>
      </c>
      <c r="F10" s="1"/>
      <c r="G10" s="1" t="s">
        <v>24</v>
      </c>
      <c r="H10" s="1">
        <v>90</v>
      </c>
      <c r="I10" s="1" t="str">
        <f>IF(Tableau7[[#This Row],[Type]]="Sortie",COUNTIFS(Tableau7[Type],"Sortie",Tableau7[Quantite],"&gt;"&amp;Tableau7[[#This Row],[Quantite]])+1,"")</f>
        <v/>
      </c>
      <c r="J10" s="1" t="s">
        <v>188</v>
      </c>
      <c r="K10" s="1"/>
      <c r="L10" s="1"/>
      <c r="M10" s="1"/>
    </row>
    <row r="11" spans="2:18" x14ac:dyDescent="0.25">
      <c r="B11" s="34" t="s">
        <v>182</v>
      </c>
      <c r="C11" s="1" t="s">
        <v>183</v>
      </c>
      <c r="D11" s="1"/>
      <c r="E11" s="1" t="s">
        <v>104</v>
      </c>
      <c r="F11" s="1"/>
      <c r="G11" s="1" t="s">
        <v>24</v>
      </c>
      <c r="H11" s="1">
        <v>3</v>
      </c>
      <c r="I11" s="1" t="str">
        <f>IF(Tableau7[[#This Row],[Type]]="Sortie",COUNTIFS(Tableau7[Type],"Sortie",Tableau7[Quantite],"&gt;"&amp;Tableau7[[#This Row],[Quantite]])+1,"")</f>
        <v/>
      </c>
      <c r="J11" s="1" t="s">
        <v>188</v>
      </c>
      <c r="K11" s="1"/>
      <c r="L11" s="1"/>
      <c r="M11" s="1"/>
    </row>
    <row r="12" spans="2:18" x14ac:dyDescent="0.25">
      <c r="B12" s="34" t="s">
        <v>189</v>
      </c>
      <c r="C12" s="1" t="s">
        <v>190</v>
      </c>
      <c r="D12" s="1" t="s">
        <v>165</v>
      </c>
      <c r="E12" s="1" t="s">
        <v>120</v>
      </c>
      <c r="F12" s="1"/>
      <c r="G12" s="1" t="s">
        <v>28</v>
      </c>
      <c r="H12" s="1">
        <v>21</v>
      </c>
      <c r="I12" s="1" t="str">
        <f>IF(Tableau7[[#This Row],[Type]]="Sortie",COUNTIFS(Tableau7[Type],"Sortie",Tableau7[Quantite],"&gt;"&amp;Tableau7[[#This Row],[Quantite]])+1,"")</f>
        <v/>
      </c>
      <c r="J12" s="1" t="s">
        <v>188</v>
      </c>
      <c r="K12" s="1"/>
      <c r="L12" s="1"/>
      <c r="M12" s="1"/>
    </row>
    <row r="13" spans="2:18" x14ac:dyDescent="0.25">
      <c r="B13" s="34" t="s">
        <v>192</v>
      </c>
      <c r="C13" s="1" t="s">
        <v>193</v>
      </c>
      <c r="D13" s="1" t="s">
        <v>191</v>
      </c>
      <c r="E13" s="1" t="s">
        <v>104</v>
      </c>
      <c r="F13" s="1"/>
      <c r="G13" s="1" t="s">
        <v>22</v>
      </c>
      <c r="H13" s="1">
        <v>100</v>
      </c>
      <c r="I13" s="1" t="str">
        <f>IF(Tableau7[[#This Row],[Type]]="Sortie",COUNTIFS(Tableau7[Type],"Sortie",Tableau7[Quantite],"&gt;"&amp;Tableau7[[#This Row],[Quantite]])+1,"")</f>
        <v/>
      </c>
      <c r="J13" s="1" t="s">
        <v>188</v>
      </c>
      <c r="K13" s="1"/>
      <c r="L13" s="1"/>
      <c r="M13" s="1"/>
    </row>
    <row r="14" spans="2:18" x14ac:dyDescent="0.25">
      <c r="B14" s="34" t="s">
        <v>192</v>
      </c>
      <c r="C14" s="1" t="s">
        <v>193</v>
      </c>
      <c r="D14" s="1" t="s">
        <v>191</v>
      </c>
      <c r="E14" s="1" t="s">
        <v>104</v>
      </c>
      <c r="F14" s="1"/>
      <c r="G14" s="1" t="s">
        <v>24</v>
      </c>
      <c r="H14" s="1">
        <v>100</v>
      </c>
      <c r="I14" s="1" t="str">
        <f>IF(Tableau7[[#This Row],[Type]]="Sortie",COUNTIFS(Tableau7[Type],"Sortie",Tableau7[Quantite],"&gt;"&amp;Tableau7[[#This Row],[Quantite]])+1,"")</f>
        <v/>
      </c>
      <c r="J14" s="1" t="s">
        <v>188</v>
      </c>
      <c r="K14" s="1"/>
      <c r="L14" s="1"/>
      <c r="M14" s="1"/>
    </row>
    <row r="15" spans="2:18" x14ac:dyDescent="0.25">
      <c r="B15" s="34" t="s">
        <v>192</v>
      </c>
      <c r="C15" s="1" t="s">
        <v>193</v>
      </c>
      <c r="D15" s="1" t="s">
        <v>191</v>
      </c>
      <c r="E15" s="1" t="s">
        <v>104</v>
      </c>
      <c r="F15" s="1"/>
      <c r="G15" s="1" t="s">
        <v>26</v>
      </c>
      <c r="H15" s="1">
        <v>100</v>
      </c>
      <c r="I15" s="1" t="str">
        <f>IF(Tableau7[[#This Row],[Type]]="Sortie",COUNTIFS(Tableau7[Type],"Sortie",Tableau7[Quantite],"&gt;"&amp;Tableau7[[#This Row],[Quantite]])+1,"")</f>
        <v/>
      </c>
      <c r="J15" s="1" t="s">
        <v>188</v>
      </c>
      <c r="K15" s="1"/>
      <c r="L15" s="1"/>
      <c r="M15" s="1"/>
    </row>
    <row r="16" spans="2:18" x14ac:dyDescent="0.25">
      <c r="B16" s="34" t="s">
        <v>192</v>
      </c>
      <c r="C16" s="1" t="s">
        <v>193</v>
      </c>
      <c r="D16" s="1" t="s">
        <v>191</v>
      </c>
      <c r="E16" s="1" t="s">
        <v>104</v>
      </c>
      <c r="F16" s="1"/>
      <c r="G16" s="1" t="s">
        <v>28</v>
      </c>
      <c r="H16" s="1">
        <v>100</v>
      </c>
      <c r="I16" s="1" t="str">
        <f>IF(Tableau7[[#This Row],[Type]]="Sortie",COUNTIFS(Tableau7[Type],"Sortie",Tableau7[Quantite],"&gt;"&amp;Tableau7[[#This Row],[Quantite]])+1,"")</f>
        <v/>
      </c>
      <c r="J16" s="1" t="s">
        <v>188</v>
      </c>
      <c r="K16" s="1"/>
      <c r="L16" s="1"/>
      <c r="M16" s="1"/>
    </row>
    <row r="17" spans="2:13" x14ac:dyDescent="0.25">
      <c r="B17" s="34" t="s">
        <v>192</v>
      </c>
      <c r="C17" s="1" t="s">
        <v>193</v>
      </c>
      <c r="D17" s="1" t="s">
        <v>191</v>
      </c>
      <c r="E17" s="1" t="s">
        <v>104</v>
      </c>
      <c r="F17" s="1"/>
      <c r="G17" s="1" t="s">
        <v>140</v>
      </c>
      <c r="H17" s="1">
        <v>100</v>
      </c>
      <c r="I17" s="1" t="str">
        <f>IF(Tableau7[[#This Row],[Type]]="Sortie",COUNTIFS(Tableau7[Type],"Sortie",Tableau7[Quantite],"&gt;"&amp;Tableau7[[#This Row],[Quantite]])+1,"")</f>
        <v/>
      </c>
      <c r="J17" s="1" t="s">
        <v>188</v>
      </c>
      <c r="K17" s="1"/>
      <c r="L17" s="1"/>
      <c r="M17" s="1"/>
    </row>
    <row r="18" spans="2:13" x14ac:dyDescent="0.25">
      <c r="B18" s="34" t="s">
        <v>192</v>
      </c>
      <c r="C18" s="1" t="s">
        <v>193</v>
      </c>
      <c r="D18" s="1" t="s">
        <v>191</v>
      </c>
      <c r="E18" s="1" t="s">
        <v>104</v>
      </c>
      <c r="F18" s="1"/>
      <c r="G18" s="1" t="s">
        <v>144</v>
      </c>
      <c r="H18" s="1">
        <v>100</v>
      </c>
      <c r="I18" s="1" t="str">
        <f>IF(Tableau7[[#This Row],[Type]]="Sortie",COUNTIFS(Tableau7[Type],"Sortie",Tableau7[Quantite],"&gt;"&amp;Tableau7[[#This Row],[Quantite]])+1,"")</f>
        <v/>
      </c>
      <c r="J18" s="1" t="s">
        <v>188</v>
      </c>
      <c r="K18" s="1"/>
      <c r="L18" s="1"/>
      <c r="M18" s="1"/>
    </row>
    <row r="19" spans="2:13" x14ac:dyDescent="0.25">
      <c r="B19" s="34" t="s">
        <v>192</v>
      </c>
      <c r="C19" s="1" t="s">
        <v>193</v>
      </c>
      <c r="D19" s="1" t="s">
        <v>191</v>
      </c>
      <c r="E19" s="1" t="s">
        <v>104</v>
      </c>
      <c r="F19" s="1"/>
      <c r="G19" s="1" t="s">
        <v>166</v>
      </c>
      <c r="H19" s="1">
        <v>100</v>
      </c>
      <c r="I19" s="1" t="str">
        <f>IF(Tableau7[[#This Row],[Type]]="Sortie",COUNTIFS(Tableau7[Type],"Sortie",Tableau7[Quantite],"&gt;"&amp;Tableau7[[#This Row],[Quantite]])+1,"")</f>
        <v/>
      </c>
      <c r="J19" s="1" t="s">
        <v>188</v>
      </c>
      <c r="K19" s="1"/>
      <c r="L19" s="1"/>
      <c r="M19" s="1"/>
    </row>
    <row r="20" spans="2:13" x14ac:dyDescent="0.25">
      <c r="B20" s="34" t="s">
        <v>212</v>
      </c>
      <c r="C20" s="1" t="s">
        <v>213</v>
      </c>
      <c r="D20" s="1" t="s">
        <v>184</v>
      </c>
      <c r="E20" s="1"/>
      <c r="F20" s="1" t="s">
        <v>30</v>
      </c>
      <c r="G20" s="1" t="s">
        <v>22</v>
      </c>
      <c r="H20" s="1">
        <v>10</v>
      </c>
      <c r="I20" s="1">
        <f>IF(Tableau7[[#This Row],[Type]]="Sortie",COUNTIFS(Tableau7[Type],"Sortie",Tableau7[Quantite],"&gt;"&amp;Tableau7[[#This Row],[Quantite]])+1,"")</f>
        <v>22</v>
      </c>
      <c r="J20" s="1" t="s">
        <v>187</v>
      </c>
      <c r="K20" s="1" t="s">
        <v>23</v>
      </c>
      <c r="L20" s="1">
        <v>1000</v>
      </c>
      <c r="M20" s="1"/>
    </row>
    <row r="21" spans="2:13" x14ac:dyDescent="0.25">
      <c r="B21" s="34" t="s">
        <v>214</v>
      </c>
      <c r="C21" s="1" t="s">
        <v>196</v>
      </c>
      <c r="D21" s="1" t="s">
        <v>184</v>
      </c>
      <c r="E21" s="1"/>
      <c r="F21" s="1" t="s">
        <v>31</v>
      </c>
      <c r="G21" s="1" t="s">
        <v>24</v>
      </c>
      <c r="H21" s="1">
        <v>45</v>
      </c>
      <c r="I21" s="1">
        <f>IF(Tableau7[[#This Row],[Type]]="Sortie",COUNTIFS(Tableau7[Type],"Sortie",Tableau7[Quantite],"&gt;"&amp;Tableau7[[#This Row],[Quantite]])+1,"")</f>
        <v>8</v>
      </c>
      <c r="J21" s="1" t="s">
        <v>187</v>
      </c>
      <c r="K21" s="1" t="s">
        <v>27</v>
      </c>
      <c r="L21" s="1">
        <v>1000</v>
      </c>
      <c r="M21" s="1"/>
    </row>
    <row r="22" spans="2:13" x14ac:dyDescent="0.25">
      <c r="B22" s="34" t="s">
        <v>215</v>
      </c>
      <c r="C22" s="1" t="s">
        <v>216</v>
      </c>
      <c r="D22" s="1" t="s">
        <v>184</v>
      </c>
      <c r="E22" s="1"/>
      <c r="F22" s="1" t="s">
        <v>32</v>
      </c>
      <c r="G22" s="1" t="s">
        <v>26</v>
      </c>
      <c r="H22" s="1">
        <v>11</v>
      </c>
      <c r="I22" s="1">
        <f>IF(Tableau7[[#This Row],[Type]]="Sortie",COUNTIFS(Tableau7[Type],"Sortie",Tableau7[Quantite],"&gt;"&amp;Tableau7[[#This Row],[Quantite]])+1,"")</f>
        <v>21</v>
      </c>
      <c r="J22" s="1" t="s">
        <v>187</v>
      </c>
      <c r="K22" s="1" t="s">
        <v>27</v>
      </c>
      <c r="L22" s="1">
        <v>1000</v>
      </c>
      <c r="M22" s="1"/>
    </row>
    <row r="23" spans="2:13" x14ac:dyDescent="0.25">
      <c r="B23" s="34" t="s">
        <v>220</v>
      </c>
      <c r="C23" s="1" t="s">
        <v>221</v>
      </c>
      <c r="D23" s="1" t="s">
        <v>184</v>
      </c>
      <c r="E23" s="1"/>
      <c r="F23" s="1" t="s">
        <v>36</v>
      </c>
      <c r="G23" s="1" t="s">
        <v>26</v>
      </c>
      <c r="H23" s="1">
        <v>45</v>
      </c>
      <c r="I23" s="1">
        <f>IF(Tableau7[[#This Row],[Type]]="Sortie",COUNTIFS(Tableau7[Type],"Sortie",Tableau7[Quantite],"&gt;"&amp;Tableau7[[#This Row],[Quantite]])+1,"")</f>
        <v>8</v>
      </c>
      <c r="J23" s="1" t="s">
        <v>187</v>
      </c>
      <c r="K23" s="1" t="s">
        <v>27</v>
      </c>
      <c r="L23" s="1">
        <v>1000</v>
      </c>
      <c r="M23" s="1"/>
    </row>
    <row r="24" spans="2:13" x14ac:dyDescent="0.25">
      <c r="B24" s="34" t="s">
        <v>222</v>
      </c>
      <c r="C24" s="1" t="s">
        <v>223</v>
      </c>
      <c r="D24" s="1" t="s">
        <v>184</v>
      </c>
      <c r="E24" s="1"/>
      <c r="F24" s="1" t="s">
        <v>36</v>
      </c>
      <c r="G24" s="1" t="s">
        <v>144</v>
      </c>
      <c r="H24" s="1">
        <v>100</v>
      </c>
      <c r="I24" s="1">
        <f>IF(Tableau7[[#This Row],[Type]]="Sortie",COUNTIFS(Tableau7[Type],"Sortie",Tableau7[Quantite],"&gt;"&amp;Tableau7[[#This Row],[Quantite]])+1,"")</f>
        <v>1</v>
      </c>
      <c r="J24" s="1" t="s">
        <v>187</v>
      </c>
      <c r="K24" s="1" t="s">
        <v>145</v>
      </c>
      <c r="L24" s="1">
        <v>25</v>
      </c>
      <c r="M24" s="1"/>
    </row>
    <row r="25" spans="2:13" x14ac:dyDescent="0.25">
      <c r="B25" s="34" t="s">
        <v>176</v>
      </c>
      <c r="C25" s="1" t="s">
        <v>225</v>
      </c>
      <c r="D25" s="1" t="s">
        <v>191</v>
      </c>
      <c r="E25" s="1" t="s">
        <v>104</v>
      </c>
      <c r="F25" s="1"/>
      <c r="G25" s="1" t="s">
        <v>24</v>
      </c>
      <c r="H25" s="1">
        <v>45</v>
      </c>
      <c r="I25" s="1" t="str">
        <f>IF(Tableau7[[#This Row],[Type]]="Sortie",COUNTIFS(Tableau7[Type],"Sortie",Tableau7[Quantite],"&gt;"&amp;Tableau7[[#This Row],[Quantite]])+1,"")</f>
        <v/>
      </c>
      <c r="J25" s="1" t="s">
        <v>188</v>
      </c>
      <c r="K25" s="1" t="s">
        <v>25</v>
      </c>
      <c r="L25" s="1">
        <v>150</v>
      </c>
      <c r="M25" s="1"/>
    </row>
    <row r="26" spans="2:13" x14ac:dyDescent="0.25">
      <c r="B26" s="34" t="s">
        <v>176</v>
      </c>
      <c r="C26" s="1" t="s">
        <v>225</v>
      </c>
      <c r="D26" s="1" t="s">
        <v>191</v>
      </c>
      <c r="E26" s="1" t="s">
        <v>104</v>
      </c>
      <c r="F26" s="1"/>
      <c r="G26" s="1" t="s">
        <v>26</v>
      </c>
      <c r="H26" s="1">
        <v>45</v>
      </c>
      <c r="I26" s="1" t="str">
        <f>IF(Tableau7[[#This Row],[Type]]="Sortie",COUNTIFS(Tableau7[Type],"Sortie",Tableau7[Quantite],"&gt;"&amp;Tableau7[[#This Row],[Quantite]])+1,"")</f>
        <v/>
      </c>
      <c r="J26" s="1" t="s">
        <v>188</v>
      </c>
      <c r="K26" s="1" t="s">
        <v>27</v>
      </c>
      <c r="L26" s="1">
        <v>1000</v>
      </c>
      <c r="M26" s="1"/>
    </row>
    <row r="27" spans="2:13" x14ac:dyDescent="0.25">
      <c r="B27" s="34" t="s">
        <v>178</v>
      </c>
      <c r="C27" s="1" t="s">
        <v>226</v>
      </c>
      <c r="D27" s="1" t="s">
        <v>224</v>
      </c>
      <c r="E27" s="1" t="s">
        <v>104</v>
      </c>
      <c r="F27" s="1"/>
      <c r="G27" s="1" t="s">
        <v>24</v>
      </c>
      <c r="H27" s="1">
        <v>45</v>
      </c>
      <c r="I27" s="1" t="str">
        <f>IF(Tableau7[[#This Row],[Type]]="Sortie",COUNTIFS(Tableau7[Type],"Sortie",Tableau7[Quantite],"&gt;"&amp;Tableau7[[#This Row],[Quantite]])+1,"")</f>
        <v/>
      </c>
      <c r="J27" s="1" t="s">
        <v>188</v>
      </c>
      <c r="K27" s="1" t="s">
        <v>25</v>
      </c>
      <c r="L27" s="1">
        <v>150</v>
      </c>
      <c r="M27" s="1"/>
    </row>
    <row r="28" spans="2:13" x14ac:dyDescent="0.25">
      <c r="B28" s="34" t="s">
        <v>178</v>
      </c>
      <c r="C28" s="1" t="s">
        <v>226</v>
      </c>
      <c r="D28" s="1" t="s">
        <v>224</v>
      </c>
      <c r="E28" s="1" t="s">
        <v>104</v>
      </c>
      <c r="F28" s="1"/>
      <c r="G28" s="1" t="s">
        <v>26</v>
      </c>
      <c r="H28" s="1">
        <v>45</v>
      </c>
      <c r="I28" s="1" t="str">
        <f>IF(Tableau7[[#This Row],[Type]]="Sortie",COUNTIFS(Tableau7[Type],"Sortie",Tableau7[Quantite],"&gt;"&amp;Tableau7[[#This Row],[Quantite]])+1,"")</f>
        <v/>
      </c>
      <c r="J28" s="1" t="s">
        <v>188</v>
      </c>
      <c r="K28" s="1" t="s">
        <v>27</v>
      </c>
      <c r="L28" s="1">
        <v>1000</v>
      </c>
      <c r="M28" s="1"/>
    </row>
    <row r="29" spans="2:13" x14ac:dyDescent="0.25">
      <c r="B29" s="34" t="s">
        <v>182</v>
      </c>
      <c r="C29" s="1" t="s">
        <v>227</v>
      </c>
      <c r="D29" s="1" t="s">
        <v>184</v>
      </c>
      <c r="E29" s="1"/>
      <c r="F29" s="1" t="s">
        <v>35</v>
      </c>
      <c r="G29" s="1" t="s">
        <v>26</v>
      </c>
      <c r="H29" s="1">
        <v>67</v>
      </c>
      <c r="I29" s="1">
        <f>IF(Tableau7[[#This Row],[Type]]="Sortie",COUNTIFS(Tableau7[Type],"Sortie",Tableau7[Quantite],"&gt;"&amp;Tableau7[[#This Row],[Quantite]])+1,"")</f>
        <v>3</v>
      </c>
      <c r="J29" s="1" t="s">
        <v>187</v>
      </c>
      <c r="K29" s="1" t="s">
        <v>27</v>
      </c>
      <c r="L29" s="1">
        <v>1000</v>
      </c>
      <c r="M29" s="1"/>
    </row>
    <row r="30" spans="2:13" x14ac:dyDescent="0.25">
      <c r="B30" s="34" t="s">
        <v>267</v>
      </c>
      <c r="C30" s="1" t="s">
        <v>268</v>
      </c>
      <c r="D30" s="1" t="s">
        <v>184</v>
      </c>
      <c r="E30" s="1"/>
      <c r="F30" s="1" t="s">
        <v>87</v>
      </c>
      <c r="G30" s="1" t="s">
        <v>26</v>
      </c>
      <c r="H30" s="1">
        <v>45</v>
      </c>
      <c r="I30" s="1">
        <f>IF(Tableau7[[#This Row],[Type]]="Sortie",COUNTIFS(Tableau7[Type],"Sortie",Tableau7[Quantite],"&gt;"&amp;Tableau7[[#This Row],[Quantite]])+1,"")</f>
        <v>8</v>
      </c>
      <c r="J30" s="1" t="s">
        <v>187</v>
      </c>
      <c r="K30" s="1" t="s">
        <v>27</v>
      </c>
      <c r="L30" s="1">
        <v>1000</v>
      </c>
      <c r="M30" s="7">
        <v>45773.701990740738</v>
      </c>
    </row>
    <row r="31" spans="2:13" x14ac:dyDescent="0.25">
      <c r="B31" s="34" t="s">
        <v>271</v>
      </c>
      <c r="C31" s="1" t="s">
        <v>272</v>
      </c>
      <c r="D31" s="1" t="s">
        <v>242</v>
      </c>
      <c r="E31" s="1" t="s">
        <v>97</v>
      </c>
      <c r="F31" s="1"/>
      <c r="G31" s="1" t="s">
        <v>22</v>
      </c>
      <c r="H31" s="1">
        <v>300</v>
      </c>
      <c r="I31" s="1" t="str">
        <f>IF(Tableau7[[#This Row],[Type]]="Sortie",COUNTIFS(Tableau7[Type],"Sortie",Tableau7[Quantite],"&gt;"&amp;Tableau7[[#This Row],[Quantite]])+1,"")</f>
        <v/>
      </c>
      <c r="J31" s="1" t="s">
        <v>188</v>
      </c>
      <c r="K31" s="1" t="s">
        <v>23</v>
      </c>
      <c r="L31" s="1">
        <v>1000</v>
      </c>
      <c r="M31" s="7">
        <v>45773.716678240744</v>
      </c>
    </row>
    <row r="32" spans="2:13" x14ac:dyDescent="0.25">
      <c r="B32" s="34" t="s">
        <v>271</v>
      </c>
      <c r="C32" s="1" t="s">
        <v>272</v>
      </c>
      <c r="D32" s="1" t="s">
        <v>242</v>
      </c>
      <c r="E32" s="1" t="s">
        <v>97</v>
      </c>
      <c r="F32" s="1"/>
      <c r="G32" s="1" t="s">
        <v>24</v>
      </c>
      <c r="H32" s="1">
        <v>300</v>
      </c>
      <c r="I32" s="1" t="str">
        <f>IF(Tableau7[[#This Row],[Type]]="Sortie",COUNTIFS(Tableau7[Type],"Sortie",Tableau7[Quantite],"&gt;"&amp;Tableau7[[#This Row],[Quantite]])+1,"")</f>
        <v/>
      </c>
      <c r="J32" s="1" t="s">
        <v>188</v>
      </c>
      <c r="K32" s="1" t="s">
        <v>25</v>
      </c>
      <c r="L32" s="1">
        <v>150</v>
      </c>
      <c r="M32" s="7">
        <v>45773.716689814813</v>
      </c>
    </row>
    <row r="33" spans="2:13" x14ac:dyDescent="0.25">
      <c r="B33" s="34" t="s">
        <v>271</v>
      </c>
      <c r="C33" s="1" t="s">
        <v>272</v>
      </c>
      <c r="D33" s="1" t="s">
        <v>242</v>
      </c>
      <c r="E33" s="1" t="s">
        <v>97</v>
      </c>
      <c r="F33" s="1"/>
      <c r="G33" s="1" t="s">
        <v>26</v>
      </c>
      <c r="H33" s="1">
        <v>300</v>
      </c>
      <c r="I33" s="1" t="str">
        <f>IF(Tableau7[[#This Row],[Type]]="Sortie",COUNTIFS(Tableau7[Type],"Sortie",Tableau7[Quantite],"&gt;"&amp;Tableau7[[#This Row],[Quantite]])+1,"")</f>
        <v/>
      </c>
      <c r="J33" s="1" t="s">
        <v>188</v>
      </c>
      <c r="K33" s="1" t="s">
        <v>27</v>
      </c>
      <c r="L33" s="1">
        <v>1000</v>
      </c>
      <c r="M33" s="7">
        <v>45773.716689814813</v>
      </c>
    </row>
    <row r="34" spans="2:13" x14ac:dyDescent="0.25">
      <c r="B34" s="34" t="s">
        <v>271</v>
      </c>
      <c r="C34" s="1" t="s">
        <v>272</v>
      </c>
      <c r="D34" s="1" t="s">
        <v>242</v>
      </c>
      <c r="E34" s="1" t="s">
        <v>97</v>
      </c>
      <c r="F34" s="1"/>
      <c r="G34" s="1" t="s">
        <v>28</v>
      </c>
      <c r="H34" s="1">
        <v>300</v>
      </c>
      <c r="I34" s="1" t="str">
        <f>IF(Tableau7[[#This Row],[Type]]="Sortie",COUNTIFS(Tableau7[Type],"Sortie",Tableau7[Quantite],"&gt;"&amp;Tableau7[[#This Row],[Quantite]])+1,"")</f>
        <v/>
      </c>
      <c r="J34" s="1" t="s">
        <v>188</v>
      </c>
      <c r="K34" s="1" t="s">
        <v>29</v>
      </c>
      <c r="L34" s="1">
        <v>600</v>
      </c>
      <c r="M34" s="7">
        <v>45773.716689814813</v>
      </c>
    </row>
    <row r="35" spans="2:13" x14ac:dyDescent="0.25">
      <c r="B35" s="34" t="s">
        <v>271</v>
      </c>
      <c r="C35" s="1" t="s">
        <v>272</v>
      </c>
      <c r="D35" s="1" t="s">
        <v>242</v>
      </c>
      <c r="E35" s="1" t="s">
        <v>97</v>
      </c>
      <c r="F35" s="1"/>
      <c r="G35" s="1" t="s">
        <v>140</v>
      </c>
      <c r="H35" s="1">
        <v>300</v>
      </c>
      <c r="I35" s="1" t="str">
        <f>IF(Tableau7[[#This Row],[Type]]="Sortie",COUNTIFS(Tableau7[Type],"Sortie",Tableau7[Quantite],"&gt;"&amp;Tableau7[[#This Row],[Quantite]])+1,"")</f>
        <v/>
      </c>
      <c r="J35" s="1" t="s">
        <v>188</v>
      </c>
      <c r="K35" s="1" t="s">
        <v>141</v>
      </c>
      <c r="L35" s="1">
        <v>700</v>
      </c>
      <c r="M35" s="7">
        <v>45773.716689814813</v>
      </c>
    </row>
    <row r="36" spans="2:13" x14ac:dyDescent="0.25">
      <c r="B36" s="34" t="s">
        <v>271</v>
      </c>
      <c r="C36" s="1" t="s">
        <v>272</v>
      </c>
      <c r="D36" s="1" t="s">
        <v>242</v>
      </c>
      <c r="E36" s="1" t="s">
        <v>97</v>
      </c>
      <c r="F36" s="1"/>
      <c r="G36" s="1" t="s">
        <v>144</v>
      </c>
      <c r="H36" s="1">
        <v>300</v>
      </c>
      <c r="I36" s="1" t="str">
        <f>IF(Tableau7[[#This Row],[Type]]="Sortie",COUNTIFS(Tableau7[Type],"Sortie",Tableau7[Quantite],"&gt;"&amp;Tableau7[[#This Row],[Quantite]])+1,"")</f>
        <v/>
      </c>
      <c r="J36" s="1" t="s">
        <v>188</v>
      </c>
      <c r="K36" s="1" t="s">
        <v>145</v>
      </c>
      <c r="L36" s="1">
        <v>25</v>
      </c>
      <c r="M36" s="7">
        <v>45773.716689814813</v>
      </c>
    </row>
    <row r="37" spans="2:13" x14ac:dyDescent="0.25">
      <c r="B37" s="34" t="s">
        <v>271</v>
      </c>
      <c r="C37" s="1" t="s">
        <v>272</v>
      </c>
      <c r="D37" s="1" t="s">
        <v>242</v>
      </c>
      <c r="E37" s="1" t="s">
        <v>97</v>
      </c>
      <c r="F37" s="1"/>
      <c r="G37" s="1" t="s">
        <v>166</v>
      </c>
      <c r="H37" s="1">
        <v>300</v>
      </c>
      <c r="I37" s="1" t="str">
        <f>IF(Tableau7[[#This Row],[Type]]="Sortie",COUNTIFS(Tableau7[Type],"Sortie",Tableau7[Quantite],"&gt;"&amp;Tableau7[[#This Row],[Quantite]])+1,"")</f>
        <v/>
      </c>
      <c r="J37" s="1" t="s">
        <v>188</v>
      </c>
      <c r="K37" s="1" t="s">
        <v>167</v>
      </c>
      <c r="L37" s="1">
        <v>700</v>
      </c>
      <c r="M37" s="7">
        <v>45773.716689814813</v>
      </c>
    </row>
    <row r="38" spans="2:13" x14ac:dyDescent="0.25">
      <c r="B38" s="34" t="s">
        <v>192</v>
      </c>
      <c r="C38" s="1" t="s">
        <v>274</v>
      </c>
      <c r="D38" s="1" t="s">
        <v>184</v>
      </c>
      <c r="E38" s="1"/>
      <c r="F38" s="1" t="s">
        <v>31</v>
      </c>
      <c r="G38" s="1" t="s">
        <v>26</v>
      </c>
      <c r="H38" s="1">
        <v>60</v>
      </c>
      <c r="I38" s="1">
        <f>IF(Tableau7[[#This Row],[Type]]="Sortie",COUNTIFS(Tableau7[Type],"Sortie",Tableau7[Quantite],"&gt;"&amp;Tableau7[[#This Row],[Quantite]])+1,"")</f>
        <v>5</v>
      </c>
      <c r="J38" s="1" t="s">
        <v>187</v>
      </c>
      <c r="K38" s="1" t="s">
        <v>27</v>
      </c>
      <c r="L38" s="1">
        <v>1000</v>
      </c>
      <c r="M38" s="7">
        <v>45774.048136574071</v>
      </c>
    </row>
    <row r="39" spans="2:13" x14ac:dyDescent="0.25">
      <c r="B39" s="34" t="s">
        <v>293</v>
      </c>
      <c r="C39" s="1" t="s">
        <v>294</v>
      </c>
      <c r="D39" s="1" t="s">
        <v>184</v>
      </c>
      <c r="E39" s="1"/>
      <c r="F39" s="1" t="s">
        <v>288</v>
      </c>
      <c r="G39" s="1" t="s">
        <v>284</v>
      </c>
      <c r="H39" s="1">
        <v>59</v>
      </c>
      <c r="I39" s="35">
        <f>IF(Tableau7[[#This Row],[Type]]="Sortie",COUNTIFS(Tableau7[Type],"Sortie",Tableau7[Quantite],"&gt;"&amp;Tableau7[[#This Row],[Quantite]])+1,"")</f>
        <v>6</v>
      </c>
      <c r="J39" s="1" t="s">
        <v>187</v>
      </c>
      <c r="K39" s="1" t="s">
        <v>285</v>
      </c>
      <c r="L39" s="1">
        <v>1500000</v>
      </c>
      <c r="M39" s="7">
        <v>45777.442025462966</v>
      </c>
    </row>
    <row r="40" spans="2:13" x14ac:dyDescent="0.25">
      <c r="B40" s="34" t="s">
        <v>293</v>
      </c>
      <c r="C40" s="1" t="s">
        <v>294</v>
      </c>
      <c r="D40" s="1" t="s">
        <v>184</v>
      </c>
      <c r="E40" s="1"/>
      <c r="F40" s="1" t="s">
        <v>288</v>
      </c>
      <c r="G40" s="1" t="s">
        <v>284</v>
      </c>
      <c r="H40" s="1">
        <v>59</v>
      </c>
      <c r="I40" s="35">
        <f>IF(Tableau7[[#This Row],[Type]]="Sortie",COUNTIFS(Tableau7[Type],"Sortie",Tableau7[Quantite],"&gt;"&amp;Tableau7[[#This Row],[Quantite]])+1,"")</f>
        <v>6</v>
      </c>
      <c r="J40" s="1" t="s">
        <v>187</v>
      </c>
      <c r="K40" s="1" t="s">
        <v>285</v>
      </c>
      <c r="L40" s="1">
        <v>1500000</v>
      </c>
      <c r="M40" s="7">
        <v>45777.442048611112</v>
      </c>
    </row>
    <row r="41" spans="2:13" x14ac:dyDescent="0.25">
      <c r="B41" s="34" t="s">
        <v>296</v>
      </c>
      <c r="C41" s="1" t="s">
        <v>297</v>
      </c>
      <c r="D41" s="1" t="s">
        <v>295</v>
      </c>
      <c r="E41" s="1" t="s">
        <v>108</v>
      </c>
      <c r="F41" s="1"/>
      <c r="G41" s="1" t="s">
        <v>278</v>
      </c>
      <c r="H41" s="1">
        <v>200</v>
      </c>
      <c r="I41" s="35" t="str">
        <f>IF(Tableau7[[#This Row],[Type]]="Sortie",COUNTIFS(Tableau7[Type],"Sortie",Tableau7[Quantite],"&gt;"&amp;Tableau7[[#This Row],[Quantite]])+1,"")</f>
        <v/>
      </c>
      <c r="J41" s="1" t="s">
        <v>188</v>
      </c>
      <c r="K41" s="1" t="s">
        <v>279</v>
      </c>
      <c r="L41" s="1">
        <v>450000</v>
      </c>
      <c r="M41" s="7">
        <v>45777.445208333331</v>
      </c>
    </row>
    <row r="42" spans="2:13" x14ac:dyDescent="0.25">
      <c r="B42" s="34" t="s">
        <v>296</v>
      </c>
      <c r="C42" s="1" t="s">
        <v>297</v>
      </c>
      <c r="D42" s="1" t="s">
        <v>295</v>
      </c>
      <c r="E42" s="1" t="s">
        <v>108</v>
      </c>
      <c r="F42" s="1"/>
      <c r="G42" s="1" t="s">
        <v>280</v>
      </c>
      <c r="H42" s="1">
        <v>200</v>
      </c>
      <c r="I42" s="35" t="str">
        <f>IF(Tableau7[[#This Row],[Type]]="Sortie",COUNTIFS(Tableau7[Type],"Sortie",Tableau7[Quantite],"&gt;"&amp;Tableau7[[#This Row],[Quantite]])+1,"")</f>
        <v/>
      </c>
      <c r="J42" s="1" t="s">
        <v>188</v>
      </c>
      <c r="K42" s="1" t="s">
        <v>281</v>
      </c>
      <c r="L42" s="1">
        <v>150000</v>
      </c>
      <c r="M42" s="7">
        <v>45777.445208333331</v>
      </c>
    </row>
    <row r="43" spans="2:13" x14ac:dyDescent="0.25">
      <c r="B43" s="34" t="s">
        <v>296</v>
      </c>
      <c r="C43" s="1" t="s">
        <v>297</v>
      </c>
      <c r="D43" s="1" t="s">
        <v>295</v>
      </c>
      <c r="E43" s="1" t="s">
        <v>108</v>
      </c>
      <c r="F43" s="1"/>
      <c r="G43" s="1" t="s">
        <v>282</v>
      </c>
      <c r="H43" s="1">
        <v>200</v>
      </c>
      <c r="I43" s="35" t="str">
        <f>IF(Tableau7[[#This Row],[Type]]="Sortie",COUNTIFS(Tableau7[Type],"Sortie",Tableau7[Quantite],"&gt;"&amp;Tableau7[[#This Row],[Quantite]])+1,"")</f>
        <v/>
      </c>
      <c r="J43" s="1" t="s">
        <v>188</v>
      </c>
      <c r="K43" s="1" t="s">
        <v>283</v>
      </c>
      <c r="L43" s="1">
        <v>600</v>
      </c>
      <c r="M43" s="7">
        <v>45777.445208333331</v>
      </c>
    </row>
    <row r="44" spans="2:13" x14ac:dyDescent="0.25">
      <c r="B44" s="34" t="s">
        <v>296</v>
      </c>
      <c r="C44" s="1" t="s">
        <v>297</v>
      </c>
      <c r="D44" s="1" t="s">
        <v>295</v>
      </c>
      <c r="E44" s="1" t="s">
        <v>108</v>
      </c>
      <c r="F44" s="1"/>
      <c r="G44" s="1" t="s">
        <v>284</v>
      </c>
      <c r="H44" s="1">
        <v>200</v>
      </c>
      <c r="I44" s="35" t="str">
        <f>IF(Tableau7[[#This Row],[Type]]="Sortie",COUNTIFS(Tableau7[Type],"Sortie",Tableau7[Quantite],"&gt;"&amp;Tableau7[[#This Row],[Quantite]])+1,"")</f>
        <v/>
      </c>
      <c r="J44" s="1" t="s">
        <v>188</v>
      </c>
      <c r="K44" s="1" t="s">
        <v>285</v>
      </c>
      <c r="L44" s="1">
        <v>1500000</v>
      </c>
      <c r="M44" s="7">
        <v>45777.445208333331</v>
      </c>
    </row>
    <row r="45" spans="2:13" x14ac:dyDescent="0.25">
      <c r="B45" s="34" t="s">
        <v>298</v>
      </c>
      <c r="C45" s="1" t="s">
        <v>299</v>
      </c>
      <c r="D45" s="1" t="s">
        <v>184</v>
      </c>
      <c r="E45" s="1"/>
      <c r="F45" s="1" t="s">
        <v>36</v>
      </c>
      <c r="G45" s="1" t="s">
        <v>26</v>
      </c>
      <c r="H45" s="1">
        <v>12</v>
      </c>
      <c r="I45" s="35">
        <f>IF(Tableau7[[#This Row],[Type]]="Sortie",COUNTIFS(Tableau7[Type],"Sortie",Tableau7[Quantite],"&gt;"&amp;Tableau7[[#This Row],[Quantite]])+1,"")</f>
        <v>17</v>
      </c>
      <c r="J45" s="1" t="s">
        <v>187</v>
      </c>
      <c r="K45" s="1" t="s">
        <v>27</v>
      </c>
      <c r="L45" s="1">
        <v>1000</v>
      </c>
      <c r="M45" s="7">
        <v>45777.44972222222</v>
      </c>
    </row>
    <row r="46" spans="2:13" x14ac:dyDescent="0.25">
      <c r="B46" s="34" t="s">
        <v>298</v>
      </c>
      <c r="C46" s="1" t="s">
        <v>299</v>
      </c>
      <c r="D46" s="1" t="s">
        <v>184</v>
      </c>
      <c r="E46" s="1"/>
      <c r="F46" s="1" t="s">
        <v>36</v>
      </c>
      <c r="G46" s="1" t="s">
        <v>280</v>
      </c>
      <c r="H46" s="1">
        <v>12</v>
      </c>
      <c r="I46" s="35">
        <f>IF(Tableau7[[#This Row],[Type]]="Sortie",COUNTIFS(Tableau7[Type],"Sortie",Tableau7[Quantite],"&gt;"&amp;Tableau7[[#This Row],[Quantite]])+1,"")</f>
        <v>17</v>
      </c>
      <c r="J46" s="1" t="s">
        <v>187</v>
      </c>
      <c r="K46" s="1" t="s">
        <v>281</v>
      </c>
      <c r="L46" s="1">
        <v>150000</v>
      </c>
      <c r="M46" s="7">
        <v>45777.44972222222</v>
      </c>
    </row>
    <row r="47" spans="2:13" x14ac:dyDescent="0.25">
      <c r="B47" s="34" t="s">
        <v>298</v>
      </c>
      <c r="C47" s="1" t="s">
        <v>299</v>
      </c>
      <c r="D47" s="1" t="s">
        <v>184</v>
      </c>
      <c r="E47" s="1"/>
      <c r="F47" s="1" t="s">
        <v>36</v>
      </c>
      <c r="G47" s="1" t="s">
        <v>284</v>
      </c>
      <c r="H47" s="1">
        <v>12</v>
      </c>
      <c r="I47" s="35">
        <f>IF(Tableau7[[#This Row],[Type]]="Sortie",COUNTIFS(Tableau7[Type],"Sortie",Tableau7[Quantite],"&gt;"&amp;Tableau7[[#This Row],[Quantite]])+1,"")</f>
        <v>17</v>
      </c>
      <c r="J47" s="1" t="s">
        <v>187</v>
      </c>
      <c r="K47" s="1" t="s">
        <v>285</v>
      </c>
      <c r="L47" s="1">
        <v>1500000</v>
      </c>
      <c r="M47" s="7">
        <v>45777.44972222222</v>
      </c>
    </row>
    <row r="48" spans="2:13" x14ac:dyDescent="0.25">
      <c r="B48" s="34" t="s">
        <v>300</v>
      </c>
      <c r="C48" s="1" t="s">
        <v>301</v>
      </c>
      <c r="D48" s="1" t="s">
        <v>157</v>
      </c>
      <c r="E48" s="1"/>
      <c r="F48" s="1" t="s">
        <v>108</v>
      </c>
      <c r="G48" s="1" t="s">
        <v>26</v>
      </c>
      <c r="H48" s="1">
        <v>23</v>
      </c>
      <c r="I48" s="35">
        <f>IF(Tableau7[[#This Row],[Type]]="Sortie",COUNTIFS(Tableau7[Type],"Sortie",Tableau7[Quantite],"&gt;"&amp;Tableau7[[#This Row],[Quantite]])+1,"")</f>
        <v>15</v>
      </c>
      <c r="J48" s="1" t="s">
        <v>187</v>
      </c>
      <c r="K48" s="1" t="s">
        <v>27</v>
      </c>
      <c r="L48" s="1">
        <v>1000</v>
      </c>
      <c r="M48" s="7">
        <v>45779.367048611108</v>
      </c>
    </row>
    <row r="49" spans="2:13" x14ac:dyDescent="0.25">
      <c r="B49" s="34" t="s">
        <v>302</v>
      </c>
      <c r="C49" s="1" t="s">
        <v>303</v>
      </c>
      <c r="D49" s="1" t="s">
        <v>184</v>
      </c>
      <c r="E49" s="1"/>
      <c r="F49" s="1" t="s">
        <v>34</v>
      </c>
      <c r="G49" s="1" t="s">
        <v>166</v>
      </c>
      <c r="H49" s="1">
        <v>10</v>
      </c>
      <c r="I49" s="35">
        <f>IF(Tableau7[[#This Row],[Type]]="Sortie",COUNTIFS(Tableau7[Type],"Sortie",Tableau7[Quantite],"&gt;"&amp;Tableau7[[#This Row],[Quantite]])+1,"")</f>
        <v>22</v>
      </c>
      <c r="J49" s="1" t="s">
        <v>187</v>
      </c>
      <c r="K49" s="1" t="s">
        <v>167</v>
      </c>
      <c r="L49" s="1">
        <v>700</v>
      </c>
      <c r="M49" s="7">
        <v>45779.374328703707</v>
      </c>
    </row>
    <row r="50" spans="2:13" x14ac:dyDescent="0.25">
      <c r="B50" s="34" t="s">
        <v>304</v>
      </c>
      <c r="C50" s="1" t="s">
        <v>305</v>
      </c>
      <c r="D50" s="1" t="s">
        <v>184</v>
      </c>
      <c r="E50" s="1"/>
      <c r="F50" s="1" t="s">
        <v>30</v>
      </c>
      <c r="G50" s="1" t="s">
        <v>24</v>
      </c>
      <c r="H50" s="1">
        <v>12</v>
      </c>
      <c r="I50" s="35">
        <f>IF(Tableau7[[#This Row],[Type]]="Sortie",COUNTIFS(Tableau7[Type],"Sortie",Tableau7[Quantite],"&gt;"&amp;Tableau7[[#This Row],[Quantite]])+1,"")</f>
        <v>17</v>
      </c>
      <c r="J50" s="1" t="s">
        <v>187</v>
      </c>
      <c r="K50" s="1" t="s">
        <v>25</v>
      </c>
      <c r="L50" s="1">
        <v>150</v>
      </c>
      <c r="M50" s="7">
        <v>45779.378483796296</v>
      </c>
    </row>
    <row r="51" spans="2:13" x14ac:dyDescent="0.25">
      <c r="B51" s="34" t="s">
        <v>306</v>
      </c>
      <c r="C51" s="1" t="s">
        <v>307</v>
      </c>
      <c r="D51" s="1" t="s">
        <v>184</v>
      </c>
      <c r="E51" s="1"/>
      <c r="F51" s="1" t="s">
        <v>32</v>
      </c>
      <c r="G51" s="1" t="s">
        <v>24</v>
      </c>
      <c r="H51" s="1">
        <v>45</v>
      </c>
      <c r="I51" s="35">
        <f>IF(Tableau7[[#This Row],[Type]]="Sortie",COUNTIFS(Tableau7[Type],"Sortie",Tableau7[Quantite],"&gt;"&amp;Tableau7[[#This Row],[Quantite]])+1,"")</f>
        <v>8</v>
      </c>
      <c r="J51" s="1" t="s">
        <v>187</v>
      </c>
      <c r="K51" s="1" t="s">
        <v>25</v>
      </c>
      <c r="L51" s="1">
        <v>150</v>
      </c>
      <c r="M51" s="7">
        <v>45779.384988425925</v>
      </c>
    </row>
    <row r="52" spans="2:13" x14ac:dyDescent="0.25">
      <c r="B52" s="34" t="s">
        <v>308</v>
      </c>
      <c r="C52" s="1" t="s">
        <v>309</v>
      </c>
      <c r="D52" s="1" t="s">
        <v>184</v>
      </c>
      <c r="E52" s="1"/>
      <c r="F52" s="1" t="s">
        <v>32</v>
      </c>
      <c r="G52" s="1" t="s">
        <v>282</v>
      </c>
      <c r="H52" s="1">
        <v>23</v>
      </c>
      <c r="I52" s="35">
        <f>IF(Tableau7[[#This Row],[Type]]="Sortie",COUNTIFS(Tableau7[Type],"Sortie",Tableau7[Quantite],"&gt;"&amp;Tableau7[[#This Row],[Quantite]])+1,"")</f>
        <v>15</v>
      </c>
      <c r="J52" s="1" t="s">
        <v>187</v>
      </c>
      <c r="K52" s="1" t="s">
        <v>283</v>
      </c>
      <c r="L52" s="1">
        <v>600</v>
      </c>
      <c r="M52" s="7">
        <v>45779.391342592593</v>
      </c>
    </row>
    <row r="53" spans="2:13" x14ac:dyDescent="0.25">
      <c r="B53" s="34" t="s">
        <v>310</v>
      </c>
      <c r="C53" s="1" t="s">
        <v>311</v>
      </c>
      <c r="D53" s="1" t="s">
        <v>184</v>
      </c>
      <c r="E53" s="1"/>
      <c r="F53" s="1" t="s">
        <v>33</v>
      </c>
      <c r="G53" s="1" t="s">
        <v>144</v>
      </c>
      <c r="H53" s="1">
        <v>34</v>
      </c>
      <c r="I53" s="35">
        <f>IF(Tableau7[[#This Row],[Type]]="Sortie",COUNTIFS(Tableau7[Type],"Sortie",Tableau7[Quantite],"&gt;"&amp;Tableau7[[#This Row],[Quantite]])+1,"")</f>
        <v>13</v>
      </c>
      <c r="J53" s="1" t="s">
        <v>187</v>
      </c>
      <c r="K53" s="1" t="s">
        <v>145</v>
      </c>
      <c r="L53" s="1">
        <v>25</v>
      </c>
      <c r="M53" s="7">
        <v>45784.359351851854</v>
      </c>
    </row>
    <row r="54" spans="2:13" x14ac:dyDescent="0.25">
      <c r="B54" s="34" t="s">
        <v>312</v>
      </c>
      <c r="C54" s="1" t="s">
        <v>313</v>
      </c>
      <c r="D54" s="1" t="s">
        <v>184</v>
      </c>
      <c r="E54" s="1"/>
      <c r="F54" s="1" t="s">
        <v>288</v>
      </c>
      <c r="G54" s="1" t="s">
        <v>22</v>
      </c>
      <c r="H54" s="1">
        <v>77</v>
      </c>
      <c r="I54" s="35">
        <f>IF(Tableau7[[#This Row],[Type]]="Sortie",COUNTIFS(Tableau7[Type],"Sortie",Tableau7[Quantite],"&gt;"&amp;Tableau7[[#This Row],[Quantite]])+1,"")</f>
        <v>2</v>
      </c>
      <c r="J54" s="1" t="s">
        <v>187</v>
      </c>
      <c r="K54" s="1" t="s">
        <v>23</v>
      </c>
      <c r="L54" s="1">
        <v>1000</v>
      </c>
      <c r="M54" s="7">
        <v>45784.367199074077</v>
      </c>
    </row>
    <row r="55" spans="2:13" x14ac:dyDescent="0.25">
      <c r="B55" s="34" t="s">
        <v>314</v>
      </c>
      <c r="C55" s="1" t="s">
        <v>315</v>
      </c>
      <c r="D55" s="1" t="s">
        <v>184</v>
      </c>
      <c r="E55" s="1"/>
      <c r="F55" s="1" t="s">
        <v>33</v>
      </c>
      <c r="G55" s="1" t="s">
        <v>276</v>
      </c>
      <c r="H55" s="1">
        <v>67</v>
      </c>
      <c r="I55" s="35">
        <f>IF(Tableau7[[#This Row],[Type]]="Sortie",COUNTIFS(Tableau7[Type],"Sortie",Tableau7[Quantite],"&gt;"&amp;Tableau7[[#This Row],[Quantite]])+1,"")</f>
        <v>3</v>
      </c>
      <c r="J55" s="1" t="s">
        <v>187</v>
      </c>
      <c r="K55" s="1" t="s">
        <v>277</v>
      </c>
      <c r="L55" s="1">
        <v>500000</v>
      </c>
      <c r="M55" s="7">
        <v>45784.369074074071</v>
      </c>
    </row>
    <row r="56" spans="2:13" x14ac:dyDescent="0.25">
      <c r="B56" s="34" t="s">
        <v>319</v>
      </c>
      <c r="C56" s="1" t="s">
        <v>320</v>
      </c>
      <c r="D56" s="1" t="s">
        <v>318</v>
      </c>
      <c r="E56" s="1" t="s">
        <v>119</v>
      </c>
      <c r="F56" s="1"/>
      <c r="G56" s="1" t="s">
        <v>276</v>
      </c>
      <c r="H56" s="1">
        <v>300</v>
      </c>
      <c r="I56" s="35" t="str">
        <f>IF(Tableau7[[#This Row],[Type]]="Sortie",COUNTIFS(Tableau7[Type],"Sortie",Tableau7[Quantite],"&gt;"&amp;Tableau7[[#This Row],[Quantite]])+1,"")</f>
        <v/>
      </c>
      <c r="J56" s="1" t="s">
        <v>188</v>
      </c>
      <c r="K56" s="1" t="s">
        <v>277</v>
      </c>
      <c r="L56" s="1">
        <v>500000</v>
      </c>
      <c r="M56" s="7">
        <v>45784.447696759256</v>
      </c>
    </row>
    <row r="57" spans="2:13" x14ac:dyDescent="0.25">
      <c r="B57" s="34" t="s">
        <v>322</v>
      </c>
      <c r="C57" s="1" t="s">
        <v>323</v>
      </c>
      <c r="D57" s="1" t="s">
        <v>321</v>
      </c>
      <c r="E57" s="1" t="s">
        <v>119</v>
      </c>
      <c r="F57" s="1"/>
      <c r="G57" s="1" t="s">
        <v>276</v>
      </c>
      <c r="H57" s="1">
        <v>200</v>
      </c>
      <c r="I57" s="35" t="str">
        <f>IF(Tableau7[[#This Row],[Type]]="Sortie",COUNTIFS(Tableau7[Type],"Sortie",Tableau7[Quantite],"&gt;"&amp;Tableau7[[#This Row],[Quantite]])+1,"")</f>
        <v/>
      </c>
      <c r="J57" s="1" t="s">
        <v>188</v>
      </c>
      <c r="K57" s="1" t="s">
        <v>277</v>
      </c>
      <c r="L57" s="1">
        <v>500000</v>
      </c>
      <c r="M57" s="7">
        <v>45784.46497685185</v>
      </c>
    </row>
    <row r="58" spans="2:13" x14ac:dyDescent="0.25">
      <c r="B58" s="34" t="s">
        <v>411</v>
      </c>
      <c r="C58" s="1" t="s">
        <v>412</v>
      </c>
      <c r="D58" s="1" t="s">
        <v>184</v>
      </c>
      <c r="E58" s="1"/>
      <c r="F58" s="1" t="s">
        <v>346</v>
      </c>
      <c r="G58" s="1" t="s">
        <v>400</v>
      </c>
      <c r="H58" s="1">
        <v>45</v>
      </c>
      <c r="I58" s="35">
        <f>IF(Tableau7[[#This Row],[Type]]="Sortie",COUNTIFS(Tableau7[Type],"Sortie",Tableau7[Quantite],"&gt;"&amp;Tableau7[[#This Row],[Quantite]])+1,"")</f>
        <v>8</v>
      </c>
      <c r="J58" s="1" t="s">
        <v>187</v>
      </c>
      <c r="K58" s="1" t="s">
        <v>401</v>
      </c>
      <c r="L58" s="1">
        <v>3900</v>
      </c>
      <c r="M58" s="7">
        <v>45789.20412037037</v>
      </c>
    </row>
    <row r="59" spans="2:13" x14ac:dyDescent="0.25">
      <c r="B59" s="34" t="s">
        <v>416</v>
      </c>
      <c r="C59" s="1" t="s">
        <v>417</v>
      </c>
      <c r="D59" s="1"/>
      <c r="E59" s="1"/>
      <c r="F59" s="1" t="s">
        <v>34</v>
      </c>
      <c r="G59" s="1" t="s">
        <v>24</v>
      </c>
      <c r="H59" s="1">
        <v>34</v>
      </c>
      <c r="I59" s="35">
        <f>IF(Tableau7[[#This Row],[Type]]="Sortie",COUNTIFS(Tableau7[Type],"Sortie",Tableau7[Quantite],"&gt;"&amp;Tableau7[[#This Row],[Quantite]])+1,"")</f>
        <v>13</v>
      </c>
      <c r="J59" s="1" t="s">
        <v>187</v>
      </c>
      <c r="K59" s="1" t="s">
        <v>383</v>
      </c>
      <c r="L59" s="1">
        <v>150</v>
      </c>
      <c r="M59" s="7">
        <v>45789.693726851852</v>
      </c>
    </row>
    <row r="60" spans="2:13" x14ac:dyDescent="0.25">
      <c r="B60" s="34" t="s">
        <v>440</v>
      </c>
      <c r="C60" s="1" t="s">
        <v>439</v>
      </c>
      <c r="D60" s="1"/>
      <c r="E60" s="1"/>
      <c r="F60" s="1" t="s">
        <v>352</v>
      </c>
      <c r="G60" s="1" t="s">
        <v>278</v>
      </c>
      <c r="H60" s="1">
        <v>2</v>
      </c>
      <c r="I60" s="35">
        <f>IF(Tableau7[[#This Row],[Type]]="Sortie",COUNTIFS(Tableau7[Type],"Sortie",Tableau7[Quantite],"&gt;"&amp;Tableau7[[#This Row],[Quantite]])+1,"")</f>
        <v>24</v>
      </c>
      <c r="J60" s="1" t="s">
        <v>187</v>
      </c>
      <c r="K60" s="1" t="s">
        <v>279</v>
      </c>
      <c r="L60" s="1">
        <v>450000</v>
      </c>
      <c r="M60" s="7">
        <v>45799.093368055554</v>
      </c>
    </row>
    <row r="61" spans="2:13" x14ac:dyDescent="0.25">
      <c r="B61" s="34" t="s">
        <v>446</v>
      </c>
      <c r="C61" s="1" t="s">
        <v>445</v>
      </c>
      <c r="D61" s="1"/>
      <c r="E61" s="1"/>
      <c r="F61" s="1" t="s">
        <v>441</v>
      </c>
      <c r="G61" s="1" t="s">
        <v>166</v>
      </c>
      <c r="H61" s="1">
        <v>1</v>
      </c>
      <c r="I61" s="35">
        <f>IF(Tableau7[[#This Row],[Type]]="Sortie",COUNTIFS(Tableau7[Type],"Sortie",Tableau7[Quantite],"&gt;"&amp;Tableau7[[#This Row],[Quantite]])+1,"")</f>
        <v>25</v>
      </c>
      <c r="J61" s="1" t="s">
        <v>187</v>
      </c>
      <c r="K61" s="1" t="s">
        <v>167</v>
      </c>
      <c r="L61" s="1">
        <v>700</v>
      </c>
      <c r="M61" s="7">
        <v>45799.408495370371</v>
      </c>
    </row>
    <row r="62" spans="2:13" x14ac:dyDescent="0.25">
      <c r="B62" s="34"/>
      <c r="C62" s="1"/>
      <c r="D62" s="1"/>
      <c r="E62" s="1"/>
      <c r="F62" s="1"/>
      <c r="G62" s="1"/>
      <c r="H62" s="1"/>
      <c r="I62" s="35" t="str">
        <f>IF(Tableau7[[#This Row],[Type]]="Sortie",COUNTIFS(Tableau7[Type],"Sortie",Tableau7[Quantite],"&gt;"&amp;Tableau7[[#This Row],[Quantite]])+1,"")</f>
        <v/>
      </c>
      <c r="J62" s="1"/>
      <c r="K62" s="1"/>
      <c r="L62" s="1"/>
      <c r="M62" s="7"/>
    </row>
    <row r="63" spans="2:13" x14ac:dyDescent="0.25">
      <c r="B63" s="34" t="s">
        <v>453</v>
      </c>
      <c r="C63" s="1" t="s">
        <v>454</v>
      </c>
      <c r="D63" s="1" t="s">
        <v>447</v>
      </c>
      <c r="E63" s="1" t="s">
        <v>255</v>
      </c>
      <c r="F63" s="1"/>
      <c r="G63" s="1" t="s">
        <v>282</v>
      </c>
      <c r="H63" s="1">
        <v>100</v>
      </c>
      <c r="I63" s="35" t="str">
        <f>IF(Tableau7[[#This Row],[Type]]="Sortie",COUNTIFS(Tableau7[Type],"Sortie",Tableau7[Quantite],"&gt;"&amp;Tableau7[[#This Row],[Quantite]])+1,"")</f>
        <v/>
      </c>
      <c r="J63" s="1" t="s">
        <v>188</v>
      </c>
      <c r="K63" s="1" t="s">
        <v>283</v>
      </c>
      <c r="L63" s="1">
        <v>600</v>
      </c>
      <c r="M63" s="7">
        <v>45799.512696759259</v>
      </c>
    </row>
    <row r="64" spans="2:13" x14ac:dyDescent="0.25">
      <c r="B64" s="34"/>
      <c r="C64" s="1"/>
      <c r="D64" s="1"/>
      <c r="E64" s="1"/>
      <c r="F64" s="1"/>
      <c r="G64" s="1"/>
      <c r="H64" s="1"/>
      <c r="I64" s="35" t="str">
        <f>IF(Tableau7[[#This Row],[Type]]="Sortie",COUNTIFS(Tableau7[Type],"Sortie",Tableau7[Quantite],"&gt;"&amp;Tableau7[[#This Row],[Quantite]])+1,"")</f>
        <v/>
      </c>
      <c r="J64" s="1"/>
      <c r="K64" s="1"/>
      <c r="L64" s="1"/>
      <c r="M64" s="7"/>
    </row>
    <row r="65" spans="2:13" x14ac:dyDescent="0.25">
      <c r="B65" s="34" t="s">
        <v>453</v>
      </c>
      <c r="C65" s="1" t="s">
        <v>454</v>
      </c>
      <c r="D65" s="1" t="s">
        <v>447</v>
      </c>
      <c r="E65" s="1" t="s">
        <v>255</v>
      </c>
      <c r="F65" s="1"/>
      <c r="G65" s="1" t="s">
        <v>284</v>
      </c>
      <c r="H65" s="1">
        <v>100</v>
      </c>
      <c r="I65" s="35" t="str">
        <f>IF(Tableau7[[#This Row],[Type]]="Sortie",COUNTIFS(Tableau7[Type],"Sortie",Tableau7[Quantite],"&gt;"&amp;Tableau7[[#This Row],[Quantite]])+1,"")</f>
        <v/>
      </c>
      <c r="J65" s="1" t="s">
        <v>188</v>
      </c>
      <c r="K65" s="1" t="s">
        <v>285</v>
      </c>
      <c r="L65" s="1">
        <v>1500000</v>
      </c>
      <c r="M65" s="7">
        <v>45799.512696759259</v>
      </c>
    </row>
    <row r="66" spans="2:13" x14ac:dyDescent="0.25">
      <c r="B66" s="34"/>
      <c r="C66" s="1"/>
      <c r="D66" s="1"/>
      <c r="E66" s="1"/>
      <c r="F66" s="1"/>
      <c r="G66" s="1"/>
      <c r="H66" s="1"/>
      <c r="I66" s="35" t="str">
        <f>IF(Tableau7[[#This Row],[Type]]="Sortie",COUNTIFS(Tableau7[Type],"Sortie",Tableau7[Quantite],"&gt;"&amp;Tableau7[[#This Row],[Quantite]])+1,"")</f>
        <v/>
      </c>
      <c r="J66" s="1"/>
      <c r="K66" s="1"/>
      <c r="L66" s="1"/>
      <c r="M66" s="7"/>
    </row>
    <row r="67" spans="2:13" x14ac:dyDescent="0.25">
      <c r="B67" s="34" t="s">
        <v>453</v>
      </c>
      <c r="C67" s="1" t="s">
        <v>454</v>
      </c>
      <c r="D67" s="1" t="s">
        <v>447</v>
      </c>
      <c r="E67" s="1" t="s">
        <v>255</v>
      </c>
      <c r="F67" s="1"/>
      <c r="G67" s="1" t="s">
        <v>372</v>
      </c>
      <c r="H67" s="1">
        <v>100</v>
      </c>
      <c r="I67" s="35" t="str">
        <f>IF(Tableau7[[#This Row],[Type]]="Sortie",COUNTIFS(Tableau7[Type],"Sortie",Tableau7[Quantite],"&gt;"&amp;Tableau7[[#This Row],[Quantite]])+1,"")</f>
        <v/>
      </c>
      <c r="J67" s="1" t="s">
        <v>188</v>
      </c>
      <c r="K67" s="1" t="s">
        <v>373</v>
      </c>
      <c r="L67" s="1">
        <v>500</v>
      </c>
      <c r="M67" s="7">
        <v>45799.512696759259</v>
      </c>
    </row>
    <row r="68" spans="2:13" x14ac:dyDescent="0.25">
      <c r="B68" s="34"/>
      <c r="C68" s="1"/>
      <c r="D68" s="1"/>
      <c r="E68" s="1"/>
      <c r="F68" s="1"/>
      <c r="G68" s="1"/>
      <c r="H68" s="1"/>
      <c r="I68" s="35" t="str">
        <f>IF(Tableau7[[#This Row],[Type]]="Sortie",COUNTIFS(Tableau7[Type],"Sortie",Tableau7[Quantite],"&gt;"&amp;Tableau7[[#This Row],[Quantite]])+1,"")</f>
        <v/>
      </c>
      <c r="J68" s="1"/>
      <c r="K68" s="1"/>
      <c r="L68" s="1"/>
      <c r="M68" s="7"/>
    </row>
    <row r="69" spans="2:13" x14ac:dyDescent="0.25">
      <c r="B69" s="34" t="s">
        <v>453</v>
      </c>
      <c r="C69" s="1" t="s">
        <v>454</v>
      </c>
      <c r="D69" s="1" t="s">
        <v>447</v>
      </c>
      <c r="E69" s="1" t="s">
        <v>255</v>
      </c>
      <c r="F69" s="1"/>
      <c r="G69" s="1" t="s">
        <v>381</v>
      </c>
      <c r="H69" s="1">
        <v>100</v>
      </c>
      <c r="I69" s="35" t="str">
        <f>IF(Tableau7[[#This Row],[Type]]="Sortie",COUNTIFS(Tableau7[Type],"Sortie",Tableau7[Quantite],"&gt;"&amp;Tableau7[[#This Row],[Quantite]])+1,"")</f>
        <v/>
      </c>
      <c r="J69" s="1" t="s">
        <v>188</v>
      </c>
      <c r="K69" s="1" t="s">
        <v>382</v>
      </c>
      <c r="L69" s="1">
        <v>1000</v>
      </c>
      <c r="M69" s="7">
        <v>45799.512696759259</v>
      </c>
    </row>
    <row r="70" spans="2:13" x14ac:dyDescent="0.25">
      <c r="B70" s="34"/>
      <c r="C70" s="1"/>
      <c r="D70" s="1"/>
      <c r="E70" s="1"/>
      <c r="F70" s="1"/>
      <c r="G70" s="1"/>
      <c r="H70" s="1"/>
      <c r="I70" s="35" t="str">
        <f>IF(Tableau7[[#This Row],[Type]]="Sortie",COUNTIFS(Tableau7[Type],"Sortie",Tableau7[Quantite],"&gt;"&amp;Tableau7[[#This Row],[Quantite]])+1,"")</f>
        <v/>
      </c>
      <c r="J70" s="1"/>
      <c r="K70" s="1"/>
      <c r="L70" s="1"/>
      <c r="M70" s="7"/>
    </row>
    <row r="71" spans="2:13" x14ac:dyDescent="0.25">
      <c r="B71" s="34" t="s">
        <v>453</v>
      </c>
      <c r="C71" s="1" t="s">
        <v>454</v>
      </c>
      <c r="D71" s="1" t="s">
        <v>447</v>
      </c>
      <c r="E71" s="1" t="s">
        <v>255</v>
      </c>
      <c r="F71" s="1"/>
      <c r="G71" s="1" t="s">
        <v>386</v>
      </c>
      <c r="H71" s="1">
        <v>100</v>
      </c>
      <c r="I71" s="35" t="str">
        <f>IF(Tableau7[[#This Row],[Type]]="Sortie",COUNTIFS(Tableau7[Type],"Sortie",Tableau7[Quantite],"&gt;"&amp;Tableau7[[#This Row],[Quantite]])+1,"")</f>
        <v/>
      </c>
      <c r="J71" s="1" t="s">
        <v>188</v>
      </c>
      <c r="K71" s="1" t="s">
        <v>387</v>
      </c>
      <c r="L71" s="1">
        <v>1400</v>
      </c>
      <c r="M71" s="7">
        <v>45799.512696759259</v>
      </c>
    </row>
    <row r="72" spans="2:13" x14ac:dyDescent="0.25">
      <c r="B72" s="34"/>
      <c r="C72" s="1"/>
      <c r="D72" s="1"/>
      <c r="E72" s="1"/>
      <c r="F72" s="1"/>
      <c r="G72" s="1"/>
      <c r="H72" s="1"/>
      <c r="I72" s="35" t="str">
        <f>IF(Tableau7[[#This Row],[Type]]="Sortie",COUNTIFS(Tableau7[Type],"Sortie",Tableau7[Quantite],"&gt;"&amp;Tableau7[[#This Row],[Quantite]])+1,"")</f>
        <v/>
      </c>
      <c r="J72" s="1"/>
      <c r="K72" s="1"/>
      <c r="L72" s="1"/>
      <c r="M72" s="7"/>
    </row>
    <row r="73" spans="2:13" x14ac:dyDescent="0.25">
      <c r="B73" s="34" t="s">
        <v>453</v>
      </c>
      <c r="C73" s="1" t="s">
        <v>454</v>
      </c>
      <c r="D73" s="1" t="s">
        <v>447</v>
      </c>
      <c r="E73" s="1" t="s">
        <v>255</v>
      </c>
      <c r="F73" s="1"/>
      <c r="G73" s="1" t="s">
        <v>388</v>
      </c>
      <c r="H73" s="1">
        <v>100</v>
      </c>
      <c r="I73" s="35" t="str">
        <f>IF(Tableau7[[#This Row],[Type]]="Sortie",COUNTIFS(Tableau7[Type],"Sortie",Tableau7[Quantite],"&gt;"&amp;Tableau7[[#This Row],[Quantite]])+1,"")</f>
        <v/>
      </c>
      <c r="J73" s="1" t="s">
        <v>188</v>
      </c>
      <c r="K73" s="1" t="s">
        <v>389</v>
      </c>
      <c r="L73" s="1">
        <v>800</v>
      </c>
      <c r="M73" s="7">
        <v>45799.512708333335</v>
      </c>
    </row>
    <row r="74" spans="2:13" x14ac:dyDescent="0.25">
      <c r="B74" s="34"/>
      <c r="C74" s="1"/>
      <c r="D74" s="1"/>
      <c r="E74" s="1"/>
      <c r="F74" s="1"/>
      <c r="G74" s="1"/>
      <c r="H74" s="1"/>
      <c r="I74" s="35" t="str">
        <f>IF(Tableau7[[#This Row],[Type]]="Sortie",COUNTIFS(Tableau7[Type],"Sortie",Tableau7[Quantite],"&gt;"&amp;Tableau7[[#This Row],[Quantite]])+1,"")</f>
        <v/>
      </c>
      <c r="J74" s="1"/>
      <c r="K74" s="1"/>
      <c r="L74" s="1"/>
      <c r="M74" s="7"/>
    </row>
    <row r="75" spans="2:13" x14ac:dyDescent="0.25">
      <c r="B75" s="34" t="s">
        <v>453</v>
      </c>
      <c r="C75" s="1" t="s">
        <v>454</v>
      </c>
      <c r="D75" s="1" t="s">
        <v>447</v>
      </c>
      <c r="E75" s="1" t="s">
        <v>255</v>
      </c>
      <c r="F75" s="1"/>
      <c r="G75" s="1" t="s">
        <v>394</v>
      </c>
      <c r="H75" s="1">
        <v>100</v>
      </c>
      <c r="I75" s="35" t="str">
        <f>IF(Tableau7[[#This Row],[Type]]="Sortie",COUNTIFS(Tableau7[Type],"Sortie",Tableau7[Quantite],"&gt;"&amp;Tableau7[[#This Row],[Quantite]])+1,"")</f>
        <v/>
      </c>
      <c r="J75" s="1" t="s">
        <v>188</v>
      </c>
      <c r="K75" s="1" t="s">
        <v>395</v>
      </c>
      <c r="L75" s="1">
        <v>500</v>
      </c>
      <c r="M75" s="7">
        <v>45799.512708333335</v>
      </c>
    </row>
    <row r="76" spans="2:13" x14ac:dyDescent="0.25">
      <c r="B76" s="34"/>
      <c r="C76" s="1"/>
      <c r="D76" s="1"/>
      <c r="E76" s="1"/>
      <c r="F76" s="1"/>
      <c r="G76" s="1"/>
      <c r="H76" s="1"/>
      <c r="I76" s="35" t="str">
        <f>IF(Tableau7[[#This Row],[Type]]="Sortie",COUNTIFS(Tableau7[Type],"Sortie",Tableau7[Quantite],"&gt;"&amp;Tableau7[[#This Row],[Quantite]])+1,"")</f>
        <v/>
      </c>
      <c r="J76" s="1"/>
      <c r="K76" s="1"/>
      <c r="L76" s="1"/>
      <c r="M76" s="7"/>
    </row>
    <row r="77" spans="2:13" x14ac:dyDescent="0.25">
      <c r="B77" s="34" t="s">
        <v>453</v>
      </c>
      <c r="C77" s="1" t="s">
        <v>454</v>
      </c>
      <c r="D77" s="1" t="s">
        <v>447</v>
      </c>
      <c r="E77" s="1" t="s">
        <v>255</v>
      </c>
      <c r="F77" s="1"/>
      <c r="G77" s="1" t="s">
        <v>396</v>
      </c>
      <c r="H77" s="1">
        <v>100</v>
      </c>
      <c r="I77" s="35" t="str">
        <f>IF(Tableau7[[#This Row],[Type]]="Sortie",COUNTIFS(Tableau7[Type],"Sortie",Tableau7[Quantite],"&gt;"&amp;Tableau7[[#This Row],[Quantite]])+1,"")</f>
        <v/>
      </c>
      <c r="J77" s="1" t="s">
        <v>188</v>
      </c>
      <c r="K77" s="1" t="s">
        <v>397</v>
      </c>
      <c r="L77" s="1">
        <v>2000</v>
      </c>
      <c r="M77" s="7">
        <v>45799.512708333335</v>
      </c>
    </row>
    <row r="78" spans="2:13" x14ac:dyDescent="0.25">
      <c r="B78" s="34"/>
      <c r="C78" s="1"/>
      <c r="D78" s="1"/>
      <c r="E78" s="1"/>
      <c r="F78" s="1"/>
      <c r="G78" s="1"/>
      <c r="H78" s="1"/>
      <c r="I78" s="35" t="str">
        <f>IF(Tableau7[[#This Row],[Type]]="Sortie",COUNTIFS(Tableau7[Type],"Sortie",Tableau7[Quantite],"&gt;"&amp;Tableau7[[#This Row],[Quantite]])+1,"")</f>
        <v/>
      </c>
      <c r="J78" s="1"/>
      <c r="K78" s="1"/>
      <c r="L78" s="1"/>
      <c r="M78" s="7"/>
    </row>
    <row r="79" spans="2:13" x14ac:dyDescent="0.25">
      <c r="B79" s="34" t="s">
        <v>453</v>
      </c>
      <c r="C79" s="1" t="s">
        <v>454</v>
      </c>
      <c r="D79" s="1" t="s">
        <v>447</v>
      </c>
      <c r="E79" s="1" t="s">
        <v>255</v>
      </c>
      <c r="F79" s="1"/>
      <c r="G79" s="1" t="s">
        <v>398</v>
      </c>
      <c r="H79" s="1">
        <v>100</v>
      </c>
      <c r="I79" s="35" t="str">
        <f>IF(Tableau7[[#This Row],[Type]]="Sortie",COUNTIFS(Tableau7[Type],"Sortie",Tableau7[Quantite],"&gt;"&amp;Tableau7[[#This Row],[Quantite]])+1,"")</f>
        <v/>
      </c>
      <c r="J79" s="1" t="s">
        <v>188</v>
      </c>
      <c r="K79" s="1" t="s">
        <v>399</v>
      </c>
      <c r="L79" s="1">
        <v>4000</v>
      </c>
      <c r="M79" s="7">
        <v>45799.512708333335</v>
      </c>
    </row>
    <row r="80" spans="2:13" x14ac:dyDescent="0.25">
      <c r="B80" s="34"/>
      <c r="C80" s="1"/>
      <c r="D80" s="1"/>
      <c r="E80" s="1"/>
      <c r="F80" s="1"/>
      <c r="G80" s="1"/>
      <c r="H80" s="1"/>
      <c r="I80" s="35" t="str">
        <f>IF(Tableau7[[#This Row],[Type]]="Sortie",COUNTIFS(Tableau7[Type],"Sortie",Tableau7[Quantite],"&gt;"&amp;Tableau7[[#This Row],[Quantite]])+1,"")</f>
        <v/>
      </c>
      <c r="J80" s="1"/>
      <c r="K80" s="1"/>
      <c r="L80" s="1"/>
      <c r="M80" s="7"/>
    </row>
    <row r="81" spans="2:13" x14ac:dyDescent="0.25">
      <c r="B81" s="34" t="s">
        <v>453</v>
      </c>
      <c r="C81" s="1" t="s">
        <v>454</v>
      </c>
      <c r="D81" s="1" t="s">
        <v>447</v>
      </c>
      <c r="E81" s="1" t="s">
        <v>255</v>
      </c>
      <c r="F81" s="1"/>
      <c r="G81" s="1" t="s">
        <v>400</v>
      </c>
      <c r="H81" s="1">
        <v>100</v>
      </c>
      <c r="I81" s="35" t="str">
        <f>IF(Tableau7[[#This Row],[Type]]="Sortie",COUNTIFS(Tableau7[Type],"Sortie",Tableau7[Quantite],"&gt;"&amp;Tableau7[[#This Row],[Quantite]])+1,"")</f>
        <v/>
      </c>
      <c r="J81" s="1" t="s">
        <v>188</v>
      </c>
      <c r="K81" s="1" t="s">
        <v>401</v>
      </c>
      <c r="L81" s="1">
        <v>3900</v>
      </c>
      <c r="M81" s="7">
        <v>45799.512708333335</v>
      </c>
    </row>
    <row r="82" spans="2:13" x14ac:dyDescent="0.25">
      <c r="B82" s="34"/>
      <c r="C82" s="1"/>
      <c r="D82" s="1"/>
      <c r="E82" s="1"/>
      <c r="F82" s="1"/>
      <c r="G82" s="1"/>
      <c r="H82" s="1"/>
      <c r="I82" s="35" t="str">
        <f>IF(Tableau7[[#This Row],[Type]]="Sortie",COUNTIFS(Tableau7[Type],"Sortie",Tableau7[Quantite],"&gt;"&amp;Tableau7[[#This Row],[Quantite]])+1,"")</f>
        <v/>
      </c>
      <c r="J82" s="1"/>
      <c r="K82" s="1"/>
      <c r="L82" s="1"/>
      <c r="M82" s="7"/>
    </row>
    <row r="83" spans="2:13" x14ac:dyDescent="0.25">
      <c r="B83" s="34" t="s">
        <v>453</v>
      </c>
      <c r="C83" s="1" t="s">
        <v>454</v>
      </c>
      <c r="D83" s="1" t="s">
        <v>447</v>
      </c>
      <c r="E83" s="1" t="s">
        <v>255</v>
      </c>
      <c r="F83" s="1"/>
      <c r="G83" s="1" t="s">
        <v>414</v>
      </c>
      <c r="H83" s="1">
        <v>100</v>
      </c>
      <c r="I83" s="35" t="str">
        <f>IF(Tableau7[[#This Row],[Type]]="Sortie",COUNTIFS(Tableau7[Type],"Sortie",Tableau7[Quantite],"&gt;"&amp;Tableau7[[#This Row],[Quantite]])+1,"")</f>
        <v/>
      </c>
      <c r="J83" s="1" t="s">
        <v>188</v>
      </c>
      <c r="K83" s="1" t="s">
        <v>415</v>
      </c>
      <c r="L83" s="1">
        <v>2000</v>
      </c>
      <c r="M83" s="7">
        <v>45799.512708333335</v>
      </c>
    </row>
    <row r="84" spans="2:13" x14ac:dyDescent="0.25">
      <c r="B84" s="34"/>
      <c r="C84" s="1"/>
      <c r="D84" s="1"/>
      <c r="E84" s="1"/>
      <c r="F84" s="1"/>
      <c r="G84" s="1"/>
      <c r="H84" s="1"/>
      <c r="I84" s="35" t="str">
        <f>IF(Tableau7[[#This Row],[Type]]="Sortie",COUNTIFS(Tableau7[Type],"Sortie",Tableau7[Quantite],"&gt;"&amp;Tableau7[[#This Row],[Quantite]])+1,"")</f>
        <v/>
      </c>
      <c r="J84" s="1"/>
      <c r="K84" s="1"/>
      <c r="L84" s="1"/>
      <c r="M84" s="7"/>
    </row>
    <row r="85" spans="2:13" x14ac:dyDescent="0.25">
      <c r="B85" s="34" t="s">
        <v>453</v>
      </c>
      <c r="C85" s="1" t="s">
        <v>454</v>
      </c>
      <c r="D85" s="1" t="s">
        <v>447</v>
      </c>
      <c r="E85" s="1" t="s">
        <v>255</v>
      </c>
      <c r="F85" s="1"/>
      <c r="G85" s="1" t="s">
        <v>420</v>
      </c>
      <c r="H85" s="1">
        <v>100</v>
      </c>
      <c r="I85" s="35" t="str">
        <f>IF(Tableau7[[#This Row],[Type]]="Sortie",COUNTIFS(Tableau7[Type],"Sortie",Tableau7[Quantite],"&gt;"&amp;Tableau7[[#This Row],[Quantite]])+1,"")</f>
        <v/>
      </c>
      <c r="J85" s="1" t="s">
        <v>188</v>
      </c>
      <c r="K85" s="1" t="s">
        <v>421</v>
      </c>
      <c r="L85" s="1">
        <v>300000</v>
      </c>
      <c r="M85" s="7">
        <v>45799.512708333335</v>
      </c>
    </row>
    <row r="86" spans="2:13" x14ac:dyDescent="0.25">
      <c r="B86" s="34"/>
      <c r="C86" s="1"/>
      <c r="D86" s="1"/>
      <c r="E86" s="1"/>
      <c r="F86" s="1"/>
      <c r="G86" s="1"/>
      <c r="H86" s="1"/>
      <c r="I86" s="35" t="str">
        <f>IF(Tableau7[[#This Row],[Type]]="Sortie",COUNTIFS(Tableau7[Type],"Sortie",Tableau7[Quantite],"&gt;"&amp;Tableau7[[#This Row],[Quantite]])+1,"")</f>
        <v/>
      </c>
      <c r="J86" s="1"/>
      <c r="K86" s="1"/>
      <c r="L86" s="1"/>
      <c r="M86" s="7"/>
    </row>
    <row r="87" spans="2:13" x14ac:dyDescent="0.25">
      <c r="B87" s="34" t="s">
        <v>453</v>
      </c>
      <c r="C87" s="1" t="s">
        <v>454</v>
      </c>
      <c r="D87" s="1" t="s">
        <v>447</v>
      </c>
      <c r="E87" s="1" t="s">
        <v>255</v>
      </c>
      <c r="F87" s="1"/>
      <c r="G87" s="1" t="s">
        <v>422</v>
      </c>
      <c r="H87" s="1">
        <v>100</v>
      </c>
      <c r="I87" s="35" t="str">
        <f>IF(Tableau7[[#This Row],[Type]]="Sortie",COUNTIFS(Tableau7[Type],"Sortie",Tableau7[Quantite],"&gt;"&amp;Tableau7[[#This Row],[Quantite]])+1,"")</f>
        <v/>
      </c>
      <c r="J87" s="1" t="s">
        <v>188</v>
      </c>
      <c r="K87" s="1" t="s">
        <v>423</v>
      </c>
      <c r="L87" s="1">
        <v>3000</v>
      </c>
      <c r="M87" s="7">
        <v>45799.512708333335</v>
      </c>
    </row>
    <row r="88" spans="2:13" x14ac:dyDescent="0.25">
      <c r="B88" s="34"/>
      <c r="C88" s="1"/>
      <c r="D88" s="1"/>
      <c r="E88" s="1"/>
      <c r="F88" s="1"/>
      <c r="G88" s="1"/>
      <c r="H88" s="1"/>
      <c r="I88" s="35" t="str">
        <f>IF(Tableau7[[#This Row],[Type]]="Sortie",COUNTIFS(Tableau7[Type],"Sortie",Tableau7[Quantite],"&gt;"&amp;Tableau7[[#This Row],[Quantite]])+1,"")</f>
        <v/>
      </c>
      <c r="J88" s="1"/>
      <c r="K88" s="1"/>
      <c r="L88" s="1"/>
      <c r="M88" s="7"/>
    </row>
    <row r="89" spans="2:13" x14ac:dyDescent="0.25">
      <c r="B89" s="34" t="s">
        <v>453</v>
      </c>
      <c r="C89" s="1" t="s">
        <v>454</v>
      </c>
      <c r="D89" s="1" t="s">
        <v>447</v>
      </c>
      <c r="E89" s="1" t="s">
        <v>255</v>
      </c>
      <c r="F89" s="1"/>
      <c r="G89" s="1" t="s">
        <v>424</v>
      </c>
      <c r="H89" s="1">
        <v>100</v>
      </c>
      <c r="I89" s="35" t="str">
        <f>IF(Tableau7[[#This Row],[Type]]="Sortie",COUNTIFS(Tableau7[Type],"Sortie",Tableau7[Quantite],"&gt;"&amp;Tableau7[[#This Row],[Quantite]])+1,"")</f>
        <v/>
      </c>
      <c r="J89" s="1" t="s">
        <v>188</v>
      </c>
      <c r="K89" s="1" t="s">
        <v>425</v>
      </c>
      <c r="L89" s="1">
        <v>400</v>
      </c>
      <c r="M89" s="7">
        <v>45799.512708333335</v>
      </c>
    </row>
    <row r="90" spans="2:13" x14ac:dyDescent="0.25">
      <c r="B90" s="34"/>
      <c r="C90" s="1"/>
      <c r="D90" s="1"/>
      <c r="E90" s="1"/>
      <c r="F90" s="1"/>
      <c r="G90" s="1"/>
      <c r="H90" s="1"/>
      <c r="I90" s="35" t="str">
        <f>IF(Tableau7[[#This Row],[Type]]="Sortie",COUNTIFS(Tableau7[Type],"Sortie",Tableau7[Quantite],"&gt;"&amp;Tableau7[[#This Row],[Quantite]])+1,"")</f>
        <v/>
      </c>
      <c r="J90" s="1"/>
      <c r="K90" s="1"/>
      <c r="L90" s="1"/>
      <c r="M90" s="7"/>
    </row>
    <row r="91" spans="2:13" x14ac:dyDescent="0.25">
      <c r="B91" s="34" t="s">
        <v>453</v>
      </c>
      <c r="C91" s="1" t="s">
        <v>454</v>
      </c>
      <c r="D91" s="1" t="s">
        <v>447</v>
      </c>
      <c r="E91" s="1" t="s">
        <v>255</v>
      </c>
      <c r="F91" s="1"/>
      <c r="G91" s="1" t="s">
        <v>426</v>
      </c>
      <c r="H91" s="1">
        <v>100</v>
      </c>
      <c r="I91" s="35" t="str">
        <f>IF(Tableau7[[#This Row],[Type]]="Sortie",COUNTIFS(Tableau7[Type],"Sortie",Tableau7[Quantite],"&gt;"&amp;Tableau7[[#This Row],[Quantite]])+1,"")</f>
        <v/>
      </c>
      <c r="J91" s="1" t="s">
        <v>188</v>
      </c>
      <c r="K91" s="1" t="s">
        <v>27</v>
      </c>
      <c r="L91" s="1">
        <v>1035</v>
      </c>
      <c r="M91" s="7">
        <v>45799.512708333335</v>
      </c>
    </row>
    <row r="92" spans="2:13" x14ac:dyDescent="0.25">
      <c r="B92" s="34"/>
      <c r="C92" s="1"/>
      <c r="D92" s="1"/>
      <c r="E92" s="1"/>
      <c r="F92" s="1"/>
      <c r="G92" s="1"/>
      <c r="H92" s="1"/>
      <c r="I92" s="35" t="str">
        <f>IF(Tableau7[[#This Row],[Type]]="Sortie",COUNTIFS(Tableau7[Type],"Sortie",Tableau7[Quantite],"&gt;"&amp;Tableau7[[#This Row],[Quantite]])+1,"")</f>
        <v/>
      </c>
      <c r="J92" s="1"/>
      <c r="K92" s="1"/>
      <c r="L92" s="1"/>
      <c r="M92" s="7"/>
    </row>
    <row r="93" spans="2:13" x14ac:dyDescent="0.25">
      <c r="B93" s="34" t="s">
        <v>453</v>
      </c>
      <c r="C93" s="1" t="s">
        <v>454</v>
      </c>
      <c r="D93" s="1" t="s">
        <v>447</v>
      </c>
      <c r="E93" s="1" t="s">
        <v>255</v>
      </c>
      <c r="F93" s="1"/>
      <c r="G93" s="1" t="s">
        <v>427</v>
      </c>
      <c r="H93" s="1">
        <v>100</v>
      </c>
      <c r="I93" s="35" t="str">
        <f>IF(Tableau7[[#This Row],[Type]]="Sortie",COUNTIFS(Tableau7[Type],"Sortie",Tableau7[Quantite],"&gt;"&amp;Tableau7[[#This Row],[Quantite]])+1,"")</f>
        <v/>
      </c>
      <c r="J93" s="1" t="s">
        <v>188</v>
      </c>
      <c r="K93" s="1" t="s">
        <v>383</v>
      </c>
      <c r="L93" s="1">
        <v>300</v>
      </c>
      <c r="M93" s="7">
        <v>45799.512708333335</v>
      </c>
    </row>
    <row r="94" spans="2:13" x14ac:dyDescent="0.25">
      <c r="B94" s="34"/>
      <c r="C94" s="1"/>
      <c r="D94" s="1"/>
      <c r="E94" s="1"/>
      <c r="F94" s="1"/>
      <c r="G94" s="1"/>
      <c r="H94" s="1"/>
      <c r="I94" s="35" t="str">
        <f>IF(Tableau7[[#This Row],[Type]]="Sortie",COUNTIFS(Tableau7[Type],"Sortie",Tableau7[Quantite],"&gt;"&amp;Tableau7[[#This Row],[Quantite]])+1,"")</f>
        <v/>
      </c>
      <c r="J94" s="1"/>
      <c r="K94" s="1"/>
      <c r="L94" s="1"/>
      <c r="M94" s="7"/>
    </row>
    <row r="95" spans="2:13" x14ac:dyDescent="0.25">
      <c r="B95" s="34" t="s">
        <v>460</v>
      </c>
      <c r="C95" s="1" t="s">
        <v>461</v>
      </c>
      <c r="D95" s="1" t="s">
        <v>459</v>
      </c>
      <c r="E95" s="1" t="s">
        <v>97</v>
      </c>
      <c r="F95" s="1"/>
      <c r="G95" s="1" t="s">
        <v>455</v>
      </c>
      <c r="H95" s="1">
        <v>100</v>
      </c>
      <c r="I95" s="35" t="str">
        <f>IF(Tableau7[[#This Row],[Type]]="Sortie",COUNTIFS(Tableau7[Type],"Sortie",Tableau7[Quantite],"&gt;"&amp;Tableau7[[#This Row],[Quantite]])+1,"")</f>
        <v/>
      </c>
      <c r="J95" s="1" t="s">
        <v>188</v>
      </c>
      <c r="K95" s="1" t="s">
        <v>456</v>
      </c>
      <c r="L95" s="1">
        <v>1300</v>
      </c>
      <c r="M95" s="7">
        <v>45804.41909722222</v>
      </c>
    </row>
    <row r="96" spans="2:13" x14ac:dyDescent="0.25">
      <c r="B96" s="34"/>
      <c r="C96" s="1"/>
      <c r="D96" s="1"/>
      <c r="E96" s="1"/>
      <c r="F96" s="1"/>
      <c r="G96" s="1"/>
      <c r="H96" s="1"/>
      <c r="I96" s="35" t="str">
        <f>IF(Tableau7[[#This Row],[Type]]="Sortie",COUNTIFS(Tableau7[Type],"Sortie",Tableau7[Quantite],"&gt;"&amp;Tableau7[[#This Row],[Quantite]])+1,"")</f>
        <v/>
      </c>
      <c r="J96" s="1"/>
      <c r="K96" s="1"/>
      <c r="L96" s="1"/>
      <c r="M96" s="7"/>
    </row>
    <row r="97" spans="2:13" x14ac:dyDescent="0.25">
      <c r="B97" s="34" t="s">
        <v>487</v>
      </c>
      <c r="C97" s="1" t="s">
        <v>488</v>
      </c>
      <c r="D97" s="1" t="s">
        <v>483</v>
      </c>
      <c r="E97" s="1" t="s">
        <v>97</v>
      </c>
      <c r="F97" s="1"/>
      <c r="G97" s="1" t="s">
        <v>476</v>
      </c>
      <c r="H97" s="1">
        <v>100</v>
      </c>
      <c r="I97" s="35" t="str">
        <f>IF(Tableau7[[#This Row],[Type]]="Sortie",COUNTIFS(Tableau7[Type],"Sortie",Tableau7[Quantite],"&gt;"&amp;Tableau7[[#This Row],[Quantite]])+1,"")</f>
        <v/>
      </c>
      <c r="J97" s="1" t="s">
        <v>188</v>
      </c>
      <c r="K97" s="1" t="s">
        <v>477</v>
      </c>
      <c r="L97" s="1">
        <v>2200</v>
      </c>
      <c r="M97" s="7">
        <v>45874.554375</v>
      </c>
    </row>
    <row r="98" spans="2:13" x14ac:dyDescent="0.25">
      <c r="B98" s="34"/>
      <c r="C98" s="1"/>
      <c r="D98" s="1"/>
      <c r="E98" s="1"/>
      <c r="F98" s="1"/>
      <c r="G98" s="1"/>
      <c r="H98" s="1"/>
      <c r="I98" s="35" t="str">
        <f>IF(Tableau7[[#This Row],[Type]]="Sortie",COUNTIFS(Tableau7[Type],"Sortie",Tableau7[Quantite],"&gt;"&amp;Tableau7[[#This Row],[Quantite]])+1,"")</f>
        <v/>
      </c>
      <c r="J98" s="1"/>
      <c r="K98" s="1"/>
      <c r="L98" s="1"/>
      <c r="M98" s="7"/>
    </row>
    <row r="99" spans="2:13" x14ac:dyDescent="0.25">
      <c r="B99" s="34" t="s">
        <v>487</v>
      </c>
      <c r="C99" s="1" t="s">
        <v>488</v>
      </c>
      <c r="D99" s="1" t="s">
        <v>483</v>
      </c>
      <c r="E99" s="1" t="s">
        <v>97</v>
      </c>
      <c r="F99" s="1"/>
      <c r="G99" s="1" t="s">
        <v>481</v>
      </c>
      <c r="H99" s="1">
        <v>100</v>
      </c>
      <c r="I99" s="35" t="str">
        <f>IF(Tableau7[[#This Row],[Type]]="Sortie",COUNTIFS(Tableau7[Type],"Sortie",Tableau7[Quantite],"&gt;"&amp;Tableau7[[#This Row],[Quantite]])+1,"")</f>
        <v/>
      </c>
      <c r="J99" s="1" t="s">
        <v>188</v>
      </c>
      <c r="K99" s="1" t="s">
        <v>482</v>
      </c>
      <c r="L99" s="1">
        <v>15</v>
      </c>
      <c r="M99" s="7">
        <v>45874.554375</v>
      </c>
    </row>
    <row r="100" spans="2:13" x14ac:dyDescent="0.25">
      <c r="B100" s="34"/>
      <c r="C100" s="1"/>
      <c r="D100" s="1"/>
      <c r="E100" s="1"/>
      <c r="F100" s="1"/>
      <c r="G100" s="1"/>
      <c r="H100" s="1"/>
      <c r="I100" s="35" t="str">
        <f>IF(Tableau7[[#This Row],[Type]]="Sortie",COUNTIFS(Tableau7[Type],"Sortie",Tableau7[Quantite],"&gt;"&amp;Tableau7[[#This Row],[Quantite]])+1,"")</f>
        <v/>
      </c>
      <c r="J100" s="1"/>
      <c r="K100" s="1"/>
      <c r="L100" s="1"/>
      <c r="M100" s="7"/>
    </row>
    <row r="101" spans="2:13" x14ac:dyDescent="0.25">
      <c r="B101" s="34" t="s">
        <v>487</v>
      </c>
      <c r="C101" s="1" t="s">
        <v>488</v>
      </c>
      <c r="D101" s="1" t="s">
        <v>483</v>
      </c>
      <c r="E101" s="1" t="s">
        <v>97</v>
      </c>
      <c r="F101" s="1"/>
      <c r="G101" s="1" t="s">
        <v>478</v>
      </c>
      <c r="H101" s="1">
        <v>100</v>
      </c>
      <c r="I101" s="35" t="str">
        <f>IF(Tableau7[[#This Row],[Type]]="Sortie",COUNTIFS(Tableau7[Type],"Sortie",Tableau7[Quantite],"&gt;"&amp;Tableau7[[#This Row],[Quantite]])+1,"")</f>
        <v/>
      </c>
      <c r="J101" s="1" t="s">
        <v>188</v>
      </c>
      <c r="K101" s="1" t="s">
        <v>479</v>
      </c>
      <c r="L101" s="1">
        <v>1500</v>
      </c>
      <c r="M101" s="7">
        <v>45874.554375</v>
      </c>
    </row>
    <row r="102" spans="2:13" x14ac:dyDescent="0.25">
      <c r="B102" s="34"/>
      <c r="C102" s="1"/>
      <c r="D102" s="1"/>
      <c r="E102" s="1"/>
      <c r="F102" s="1"/>
      <c r="G102" s="1"/>
      <c r="H102" s="1"/>
      <c r="I102" s="35" t="str">
        <f>IF(Tableau7[[#This Row],[Type]]="Sortie",COUNTIFS(Tableau7[Type],"Sortie",Tableau7[Quantite],"&gt;"&amp;Tableau7[[#This Row],[Quantite]])+1,"")</f>
        <v/>
      </c>
      <c r="J102" s="1"/>
      <c r="K102" s="1"/>
      <c r="L102" s="1"/>
      <c r="M102" s="7"/>
    </row>
    <row r="103" spans="2:13" x14ac:dyDescent="0.25">
      <c r="B103" s="34" t="s">
        <v>491</v>
      </c>
      <c r="C103" s="1" t="s">
        <v>492</v>
      </c>
      <c r="D103" s="1" t="s">
        <v>490</v>
      </c>
      <c r="E103" s="1" t="s">
        <v>97</v>
      </c>
      <c r="F103" s="1"/>
      <c r="G103" s="1" t="s">
        <v>489</v>
      </c>
      <c r="H103" s="1">
        <v>100</v>
      </c>
      <c r="I103" s="35" t="str">
        <f>IF(Tableau7[[#This Row],[Type]]="Sortie",COUNTIFS(Tableau7[Type],"Sortie",Tableau7[Quantite],"&gt;"&amp;Tableau7[[#This Row],[Quantite]])+1,"")</f>
        <v/>
      </c>
      <c r="J103" s="1" t="s">
        <v>188</v>
      </c>
      <c r="K103" s="1" t="s">
        <v>482</v>
      </c>
      <c r="L103" s="1">
        <v>1500</v>
      </c>
      <c r="M103" s="7">
        <v>45874.558738425927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4</xdr:col>
                <xdr:colOff>695325</xdr:colOff>
                <xdr:row>2</xdr:row>
                <xdr:rowOff>76200</xdr:rowOff>
              </from>
              <to>
                <xdr:col>5</xdr:col>
                <xdr:colOff>1085850</xdr:colOff>
                <xdr:row>2</xdr:row>
                <xdr:rowOff>561975</xdr:rowOff>
              </to>
            </anchor>
          </controlPr>
        </control>
      </mc:Choice>
      <mc:Fallback>
        <control shapeId="3073" r:id="rId4" name="CommandButton1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C0E13-2BAC-403C-8CF1-4826227C7D93}">
  <sheetPr codeName="Feuil6"/>
  <dimension ref="B8:K20"/>
  <sheetViews>
    <sheetView showGridLines="0" zoomScale="150" workbookViewId="0">
      <selection activeCell="O8" sqref="O8"/>
    </sheetView>
  </sheetViews>
  <sheetFormatPr baseColWidth="10" defaultRowHeight="15" x14ac:dyDescent="0.25"/>
  <cols>
    <col min="1" max="1" width="2.28515625" customWidth="1"/>
    <col min="2" max="2" width="16.42578125" customWidth="1"/>
    <col min="3" max="3" width="16" customWidth="1"/>
    <col min="5" max="5" width="13.5703125" customWidth="1"/>
    <col min="8" max="8" width="19.42578125" customWidth="1"/>
    <col min="9" max="9" width="31.42578125" customWidth="1"/>
    <col min="10" max="10" width="36" customWidth="1"/>
    <col min="11" max="11" width="15.85546875" customWidth="1"/>
  </cols>
  <sheetData>
    <row r="8" spans="2:11" ht="27.75" customHeight="1" x14ac:dyDescent="0.25"/>
    <row r="9" spans="2:11" s="38" customFormat="1" x14ac:dyDescent="0.25">
      <c r="B9" s="51" t="s">
        <v>0</v>
      </c>
      <c r="C9" s="51" t="s">
        <v>254</v>
      </c>
      <c r="D9" s="51" t="s">
        <v>1</v>
      </c>
      <c r="E9" s="51" t="s">
        <v>7</v>
      </c>
      <c r="F9" s="51" t="s">
        <v>2</v>
      </c>
      <c r="G9" s="51" t="s">
        <v>3</v>
      </c>
      <c r="H9" s="51" t="s">
        <v>4</v>
      </c>
      <c r="I9" s="51" t="s">
        <v>5</v>
      </c>
      <c r="J9" s="51" t="s">
        <v>6</v>
      </c>
      <c r="K9" s="51" t="s">
        <v>243</v>
      </c>
    </row>
    <row r="10" spans="2:11" s="38" customFormat="1" ht="18" customHeight="1" x14ac:dyDescent="0.25">
      <c r="B10" s="51" t="s">
        <v>97</v>
      </c>
      <c r="C10" s="51" t="s">
        <v>98</v>
      </c>
      <c r="D10" s="51" t="s">
        <v>99</v>
      </c>
      <c r="E10" s="51">
        <v>235234</v>
      </c>
      <c r="F10" s="51" t="s">
        <v>124</v>
      </c>
      <c r="G10" s="51" t="s">
        <v>8</v>
      </c>
      <c r="H10" s="51">
        <v>678943510</v>
      </c>
      <c r="I10" s="59" t="s">
        <v>100</v>
      </c>
      <c r="J10" s="51" t="str">
        <f>CONCATENATE(LEFT(G10,3),"-",E10,",",F10)</f>
        <v>Cam-235234,Douala 1</v>
      </c>
      <c r="K10" s="51" t="str">
        <f t="shared" ref="K10:K15" si="0">CONCATENATE("FOUR", "-", "TR", "-", TEXT(ROW(),"00"))</f>
        <v>FOUR-TR-10</v>
      </c>
    </row>
    <row r="11" spans="2:11" s="38" customFormat="1" x14ac:dyDescent="0.25">
      <c r="B11" s="51" t="s">
        <v>104</v>
      </c>
      <c r="C11" s="51" t="s">
        <v>105</v>
      </c>
      <c r="D11" s="51" t="s">
        <v>106</v>
      </c>
      <c r="E11" s="51">
        <v>235236</v>
      </c>
      <c r="F11" s="51" t="s">
        <v>126</v>
      </c>
      <c r="G11" s="51" t="s">
        <v>8</v>
      </c>
      <c r="H11" s="51">
        <v>678943512</v>
      </c>
      <c r="I11" s="59" t="s">
        <v>107</v>
      </c>
      <c r="J11" s="51" t="str">
        <f t="shared" ref="J11:J15" si="1">CONCATENATE(LEFT(G11,3),"-",E11,",",F11)</f>
        <v>Cam-235236,Douala 3</v>
      </c>
      <c r="K11" s="51" t="str">
        <f t="shared" si="0"/>
        <v>FOUR-TR-11</v>
      </c>
    </row>
    <row r="12" spans="2:11" s="38" customFormat="1" x14ac:dyDescent="0.25">
      <c r="B12" s="51" t="s">
        <v>108</v>
      </c>
      <c r="C12" s="51" t="s">
        <v>109</v>
      </c>
      <c r="D12" s="51" t="s">
        <v>110</v>
      </c>
      <c r="E12" s="51">
        <v>235237</v>
      </c>
      <c r="F12" s="51" t="s">
        <v>127</v>
      </c>
      <c r="G12" s="51" t="s">
        <v>8</v>
      </c>
      <c r="H12" s="51">
        <v>678943513</v>
      </c>
      <c r="I12" s="59" t="s">
        <v>111</v>
      </c>
      <c r="J12" s="51" t="str">
        <f t="shared" si="1"/>
        <v>Cam-235237,Douala 4</v>
      </c>
      <c r="K12" s="51" t="str">
        <f t="shared" si="0"/>
        <v>FOUR-TR-12</v>
      </c>
    </row>
    <row r="13" spans="2:11" s="38" customFormat="1" x14ac:dyDescent="0.25">
      <c r="B13" s="51" t="s">
        <v>112</v>
      </c>
      <c r="C13" s="51" t="s">
        <v>113</v>
      </c>
      <c r="D13" s="51" t="s">
        <v>114</v>
      </c>
      <c r="E13" s="51">
        <v>235238</v>
      </c>
      <c r="F13" s="51" t="s">
        <v>128</v>
      </c>
      <c r="G13" s="51" t="s">
        <v>8</v>
      </c>
      <c r="H13" s="51">
        <v>678943514</v>
      </c>
      <c r="I13" s="59" t="s">
        <v>115</v>
      </c>
      <c r="J13" s="51" t="str">
        <f t="shared" si="1"/>
        <v>Cam-235238,Douala 5</v>
      </c>
      <c r="K13" s="51" t="str">
        <f t="shared" si="0"/>
        <v>FOUR-TR-13</v>
      </c>
    </row>
    <row r="14" spans="2:11" s="38" customFormat="1" x14ac:dyDescent="0.25">
      <c r="B14" s="51" t="s">
        <v>120</v>
      </c>
      <c r="C14" s="51" t="s">
        <v>121</v>
      </c>
      <c r="D14" s="51" t="s">
        <v>122</v>
      </c>
      <c r="E14" s="51">
        <v>235241</v>
      </c>
      <c r="F14" s="51" t="s">
        <v>130</v>
      </c>
      <c r="G14" s="51" t="s">
        <v>8</v>
      </c>
      <c r="H14" s="51">
        <v>678943517</v>
      </c>
      <c r="I14" s="59" t="s">
        <v>123</v>
      </c>
      <c r="J14" s="51" t="str">
        <f t="shared" si="1"/>
        <v>Cam-235241,Douala 8</v>
      </c>
      <c r="K14" s="51" t="str">
        <f t="shared" si="0"/>
        <v>FOUR-TR-14</v>
      </c>
    </row>
    <row r="15" spans="2:11" s="38" customFormat="1" x14ac:dyDescent="0.25">
      <c r="B15" s="51" t="s">
        <v>135</v>
      </c>
      <c r="C15" s="51" t="s">
        <v>136</v>
      </c>
      <c r="D15" s="51" t="s">
        <v>137</v>
      </c>
      <c r="E15" s="51">
        <v>235243</v>
      </c>
      <c r="F15" s="51" t="s">
        <v>138</v>
      </c>
      <c r="G15" s="51" t="s">
        <v>8</v>
      </c>
      <c r="H15" s="51">
        <v>678943519</v>
      </c>
      <c r="I15" s="59" t="s">
        <v>139</v>
      </c>
      <c r="J15" s="51" t="str">
        <f t="shared" si="1"/>
        <v>Cam-235243,Douala 10</v>
      </c>
      <c r="K15" s="51" t="str">
        <f t="shared" si="0"/>
        <v>FOUR-TR-15</v>
      </c>
    </row>
    <row r="16" spans="2:11" s="38" customFormat="1" x14ac:dyDescent="0.25">
      <c r="B16" s="60" t="s">
        <v>255</v>
      </c>
      <c r="C16" s="60" t="s">
        <v>256</v>
      </c>
      <c r="D16" s="60" t="s">
        <v>257</v>
      </c>
      <c r="E16" s="60">
        <v>6789</v>
      </c>
      <c r="F16" s="60" t="s">
        <v>258</v>
      </c>
      <c r="G16" s="60" t="s">
        <v>259</v>
      </c>
      <c r="H16" s="60">
        <v>96793572</v>
      </c>
      <c r="I16" s="61" t="s">
        <v>260</v>
      </c>
      <c r="J16" s="38" t="str">
        <f>CONCATENATE(LEFT(G16,3),"-",E16,",",F16)</f>
        <v>Fra-6789,Caen</v>
      </c>
      <c r="K16" s="56" t="str">
        <f>CONCATENATE("FOUR", "-", "TR", "-", TEXT(ROW(),"00"))</f>
        <v>FOUR-TR-16</v>
      </c>
    </row>
    <row r="17" spans="2:11" s="38" customFormat="1" x14ac:dyDescent="0.25">
      <c r="B17" s="60" t="s">
        <v>116</v>
      </c>
      <c r="C17" s="60" t="s">
        <v>117</v>
      </c>
      <c r="D17" s="60" t="s">
        <v>118</v>
      </c>
      <c r="E17" s="60">
        <v>235239</v>
      </c>
      <c r="F17" s="60" t="s">
        <v>129</v>
      </c>
      <c r="G17" s="60" t="s">
        <v>8</v>
      </c>
      <c r="H17" s="60">
        <v>678943515</v>
      </c>
      <c r="I17" s="62"/>
      <c r="J17" s="38" t="str">
        <f>CONCATENATE(LEFT(G17,3),"-",E17,",",F17)</f>
        <v>Cam-235239,Douala 6</v>
      </c>
      <c r="K17" s="56" t="str">
        <f>CONCATENATE("FOUR", "-", "TR", "-", TEXT(ROW(),"00"))</f>
        <v>FOUR-TR-17</v>
      </c>
    </row>
    <row r="18" spans="2:11" s="38" customFormat="1" x14ac:dyDescent="0.25">
      <c r="B18" s="60" t="s">
        <v>101</v>
      </c>
      <c r="C18" s="60" t="s">
        <v>102</v>
      </c>
      <c r="D18" s="60" t="s">
        <v>103</v>
      </c>
      <c r="E18" s="60">
        <v>235235</v>
      </c>
      <c r="F18" s="60" t="s">
        <v>125</v>
      </c>
      <c r="G18" s="60" t="s">
        <v>8</v>
      </c>
      <c r="H18" s="60">
        <v>678943511</v>
      </c>
      <c r="I18" s="62"/>
      <c r="J18" s="38" t="str">
        <f>CONCATENATE(LEFT(G18,3),"-",E18,",",F18)</f>
        <v>Cam-235235,Douala 2</v>
      </c>
      <c r="K18" s="56" t="str">
        <f>CONCATENATE("FOUR", "-", "TR", "-", TEXT(ROW(),"00"))</f>
        <v>FOUR-TR-18</v>
      </c>
    </row>
    <row r="19" spans="2:11" s="38" customFormat="1" x14ac:dyDescent="0.25">
      <c r="B19" s="60" t="s">
        <v>261</v>
      </c>
      <c r="C19" s="60" t="s">
        <v>262</v>
      </c>
      <c r="D19" s="60" t="s">
        <v>263</v>
      </c>
      <c r="E19" s="60">
        <v>4532</v>
      </c>
      <c r="F19" s="60" t="s">
        <v>264</v>
      </c>
      <c r="G19" s="60" t="s">
        <v>265</v>
      </c>
      <c r="H19" s="60">
        <v>89754364</v>
      </c>
      <c r="I19" s="62"/>
      <c r="J19" s="38" t="str">
        <f>CONCATENATE(LEFT(G19,3),"-",E19,",",F19)</f>
        <v>Esp-4532,Catalogne</v>
      </c>
      <c r="K19" s="56" t="str">
        <f>CONCATENATE("FOUR", "-", "TR", "-", TEXT(ROW(),"00"))</f>
        <v>FOUR-TR-19</v>
      </c>
    </row>
    <row r="20" spans="2:11" s="38" customFormat="1" x14ac:dyDescent="0.25">
      <c r="B20" s="60" t="s">
        <v>131</v>
      </c>
      <c r="C20" s="60" t="s">
        <v>132</v>
      </c>
      <c r="D20" s="60" t="s">
        <v>133</v>
      </c>
      <c r="E20" s="60">
        <v>235242</v>
      </c>
      <c r="F20" s="60" t="s">
        <v>134</v>
      </c>
      <c r="G20" s="60" t="s">
        <v>8</v>
      </c>
      <c r="H20" s="60">
        <v>678943518</v>
      </c>
      <c r="I20" s="62" t="s">
        <v>428</v>
      </c>
      <c r="J20" s="38" t="str">
        <f>CONCATENATE(LEFT(G20,3),"-",E20,",",F20)</f>
        <v>Cam-235242,Douala 9</v>
      </c>
      <c r="K20" s="56" t="str">
        <f>CONCATENATE("FOUR", "-", "TR", "-", TEXT(ROW(),"00"))</f>
        <v>FOUR-TR-20</v>
      </c>
    </row>
  </sheetData>
  <phoneticPr fontId="2" type="noConversion"/>
  <hyperlinks>
    <hyperlink ref="I10" r:id="rId1" xr:uid="{D4743B12-6449-4881-983C-58AD1F0302CC}"/>
    <hyperlink ref="I11" r:id="rId2" display="kermmaddog90@gmail.com 1" xr:uid="{3223632D-7C60-4106-8393-6C47C411487A}"/>
    <hyperlink ref="I12" r:id="rId3" display="kermmaddog90@gmail.com 1" xr:uid="{D05F382C-182F-4BD5-A282-AEDFB83AD5EF}"/>
    <hyperlink ref="I13" r:id="rId4" display="kermmaddog90@gmail.com 1" xr:uid="{3985A167-10CF-43FF-8585-9D83121A1F80}"/>
    <hyperlink ref="I14" r:id="rId5" display="kermmaddog90@gmail.com 1" xr:uid="{21F6F64B-83DB-4896-AD72-876D3491B615}"/>
    <hyperlink ref="I15" r:id="rId6" display="kermmaddog90@gmail.com 1" xr:uid="{63CD8068-6E8F-4F25-9CA6-9D52F81C6771}"/>
  </hyperlinks>
  <pageMargins left="0.7" right="0.7" top="0.75" bottom="0.75" header="0.3" footer="0.3"/>
  <pageSetup paperSize="9" orientation="portrait" r:id="rId7"/>
  <drawing r:id="rId8"/>
  <legacyDrawing r:id="rId9"/>
  <controls>
    <mc:AlternateContent xmlns:mc="http://schemas.openxmlformats.org/markup-compatibility/2006">
      <mc:Choice Requires="x14">
        <control shapeId="7169" r:id="rId10" name="CommandButton1">
          <controlPr defaultSize="0" autoLine="0" autoPict="0" r:id="rId11">
            <anchor moveWithCells="1">
              <from>
                <xdr:col>6</xdr:col>
                <xdr:colOff>514350</xdr:colOff>
                <xdr:row>4</xdr:row>
                <xdr:rowOff>38100</xdr:rowOff>
              </from>
              <to>
                <xdr:col>8</xdr:col>
                <xdr:colOff>133350</xdr:colOff>
                <xdr:row>6</xdr:row>
                <xdr:rowOff>142875</xdr:rowOff>
              </to>
            </anchor>
          </controlPr>
        </control>
      </mc:Choice>
      <mc:Fallback>
        <control shapeId="7169" r:id="rId10" name="CommandButton1"/>
      </mc:Fallback>
    </mc:AlternateContent>
  </controls>
  <tableParts count="1">
    <tablePart r:id="rId1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E26E2-6008-4F94-870B-4B5C6485D1AE}">
  <sheetPr codeName="Feuil7"/>
  <dimension ref="B2:J36"/>
  <sheetViews>
    <sheetView showGridLines="0" zoomScale="78" workbookViewId="0">
      <selection activeCell="K6" sqref="K6"/>
    </sheetView>
  </sheetViews>
  <sheetFormatPr baseColWidth="10" defaultRowHeight="15" x14ac:dyDescent="0.25"/>
  <cols>
    <col min="1" max="1" width="8" customWidth="1"/>
    <col min="2" max="2" width="25.7109375" customWidth="1"/>
    <col min="3" max="3" width="23.140625" customWidth="1"/>
    <col min="4" max="4" width="20.140625" customWidth="1"/>
    <col min="5" max="5" width="13.140625" customWidth="1"/>
    <col min="6" max="7" width="15.7109375" customWidth="1"/>
    <col min="8" max="8" width="41.85546875" customWidth="1"/>
    <col min="9" max="9" width="31.140625" customWidth="1"/>
    <col min="10" max="10" width="25" customWidth="1"/>
    <col min="11" max="11" width="20.5703125" customWidth="1"/>
  </cols>
  <sheetData>
    <row r="2" spans="2:10" x14ac:dyDescent="0.25">
      <c r="B2" t="s">
        <v>248</v>
      </c>
      <c r="C2" t="s">
        <v>249</v>
      </c>
      <c r="D2" t="s">
        <v>250</v>
      </c>
      <c r="E2">
        <v>56768</v>
      </c>
      <c r="F2" t="s">
        <v>251</v>
      </c>
      <c r="G2" t="s">
        <v>252</v>
      </c>
      <c r="H2">
        <v>78668</v>
      </c>
      <c r="I2" t="s">
        <v>253</v>
      </c>
    </row>
    <row r="9" spans="2:10" s="38" customFormat="1" x14ac:dyDescent="0.25">
      <c r="B9" s="51" t="s">
        <v>0</v>
      </c>
      <c r="C9" s="51" t="s">
        <v>1</v>
      </c>
      <c r="D9" s="51" t="s">
        <v>7</v>
      </c>
      <c r="E9" s="51" t="s">
        <v>2</v>
      </c>
      <c r="F9" s="51" t="s">
        <v>3</v>
      </c>
      <c r="G9" s="51" t="s">
        <v>4</v>
      </c>
      <c r="H9" s="51" t="s">
        <v>5</v>
      </c>
      <c r="I9" s="51" t="s">
        <v>6</v>
      </c>
      <c r="J9" s="51" t="s">
        <v>243</v>
      </c>
    </row>
    <row r="10" spans="2:10" s="38" customFormat="1" x14ac:dyDescent="0.25">
      <c r="B10" s="51" t="s">
        <v>30</v>
      </c>
      <c r="C10" s="51" t="s">
        <v>46</v>
      </c>
      <c r="D10" s="51">
        <v>10000</v>
      </c>
      <c r="E10" s="51" t="s">
        <v>47</v>
      </c>
      <c r="F10" s="51" t="s">
        <v>8</v>
      </c>
      <c r="G10" s="51">
        <v>678903510</v>
      </c>
      <c r="H10" s="59" t="s">
        <v>45</v>
      </c>
      <c r="I10" s="51" t="str">
        <f>CONCATENATE(LEFT(F10,3),"-",D10,",",E10)</f>
        <v>Cam-10000,Bonaberi 1</v>
      </c>
      <c r="J10" s="51" t="str">
        <f>CONCATENATE("CLI", "-", "TR", "-", TEXT(ROW(),"00"))</f>
        <v>CLI-TR-10</v>
      </c>
    </row>
    <row r="11" spans="2:10" s="38" customFormat="1" x14ac:dyDescent="0.25">
      <c r="B11" s="51" t="s">
        <v>31</v>
      </c>
      <c r="C11" s="51" t="s">
        <v>48</v>
      </c>
      <c r="D11" s="51">
        <v>10001</v>
      </c>
      <c r="E11" s="51" t="s">
        <v>49</v>
      </c>
      <c r="F11" s="51" t="s">
        <v>8</v>
      </c>
      <c r="G11" s="51">
        <v>678903511</v>
      </c>
      <c r="H11" s="59" t="s">
        <v>50</v>
      </c>
      <c r="I11" s="51" t="str">
        <f t="shared" ref="I11:I24" si="0">CONCATENATE(LEFT(F11,3),"-",D11,",",E11)</f>
        <v>Cam-10001,Bonaberi 2</v>
      </c>
      <c r="J11" s="51" t="str">
        <f t="shared" ref="J11:J25" si="1">CONCATENATE("CLI", "-", "TR", "-", TEXT(ROW(),"00"))</f>
        <v>CLI-TR-11</v>
      </c>
    </row>
    <row r="12" spans="2:10" s="38" customFormat="1" x14ac:dyDescent="0.25">
      <c r="B12" s="51" t="s">
        <v>32</v>
      </c>
      <c r="C12" s="51" t="s">
        <v>51</v>
      </c>
      <c r="D12" s="51">
        <v>10002</v>
      </c>
      <c r="E12" s="51" t="s">
        <v>52</v>
      </c>
      <c r="F12" s="51" t="s">
        <v>8</v>
      </c>
      <c r="G12" s="51">
        <v>678903512</v>
      </c>
      <c r="H12" s="59" t="s">
        <v>53</v>
      </c>
      <c r="I12" s="51" t="str">
        <f t="shared" si="0"/>
        <v>Cam-10002,Bonaberi 3</v>
      </c>
      <c r="J12" s="51" t="str">
        <f t="shared" si="1"/>
        <v>CLI-TR-12</v>
      </c>
    </row>
    <row r="13" spans="2:10" s="38" customFormat="1" x14ac:dyDescent="0.25">
      <c r="B13" s="51" t="s">
        <v>33</v>
      </c>
      <c r="C13" s="51" t="s">
        <v>54</v>
      </c>
      <c r="D13" s="51">
        <v>10003</v>
      </c>
      <c r="E13" s="51" t="s">
        <v>55</v>
      </c>
      <c r="F13" s="51" t="s">
        <v>8</v>
      </c>
      <c r="G13" s="51">
        <v>678903513</v>
      </c>
      <c r="H13" s="59" t="s">
        <v>56</v>
      </c>
      <c r="I13" s="51" t="str">
        <f t="shared" si="0"/>
        <v>Cam-10003,Bonaberi 4</v>
      </c>
      <c r="J13" s="51" t="str">
        <f t="shared" si="1"/>
        <v>CLI-TR-13</v>
      </c>
    </row>
    <row r="14" spans="2:10" s="38" customFormat="1" x14ac:dyDescent="0.25">
      <c r="B14" s="51" t="s">
        <v>34</v>
      </c>
      <c r="C14" s="51" t="s">
        <v>57</v>
      </c>
      <c r="D14" s="51">
        <v>10004</v>
      </c>
      <c r="E14" s="51" t="s">
        <v>58</v>
      </c>
      <c r="F14" s="51" t="s">
        <v>8</v>
      </c>
      <c r="G14" s="51">
        <v>678903514</v>
      </c>
      <c r="H14" s="59" t="s">
        <v>59</v>
      </c>
      <c r="I14" s="51" t="str">
        <f t="shared" si="0"/>
        <v>Cam-10004,Bonaberi 5</v>
      </c>
      <c r="J14" s="51" t="str">
        <f t="shared" si="1"/>
        <v>CLI-TR-14</v>
      </c>
    </row>
    <row r="15" spans="2:10" s="38" customFormat="1" x14ac:dyDescent="0.25">
      <c r="B15" s="51" t="s">
        <v>36</v>
      </c>
      <c r="C15" s="51" t="s">
        <v>60</v>
      </c>
      <c r="D15" s="51">
        <v>10006</v>
      </c>
      <c r="E15" s="51" t="s">
        <v>61</v>
      </c>
      <c r="F15" s="51" t="s">
        <v>8</v>
      </c>
      <c r="G15" s="51">
        <v>678903516</v>
      </c>
      <c r="H15" s="59" t="s">
        <v>62</v>
      </c>
      <c r="I15" s="51" t="str">
        <f t="shared" si="0"/>
        <v>Cam-10006,Bonaberi 7</v>
      </c>
      <c r="J15" s="51" t="str">
        <f t="shared" si="1"/>
        <v>CLI-TR-15</v>
      </c>
    </row>
    <row r="16" spans="2:10" s="38" customFormat="1" x14ac:dyDescent="0.25">
      <c r="B16" s="51" t="s">
        <v>37</v>
      </c>
      <c r="C16" s="51" t="s">
        <v>63</v>
      </c>
      <c r="D16" s="51">
        <v>10007</v>
      </c>
      <c r="E16" s="51" t="s">
        <v>64</v>
      </c>
      <c r="F16" s="51" t="s">
        <v>8</v>
      </c>
      <c r="G16" s="51">
        <v>678903517</v>
      </c>
      <c r="H16" s="59" t="s">
        <v>65</v>
      </c>
      <c r="I16" s="51" t="str">
        <f t="shared" si="0"/>
        <v>Cam-10007,Bonaberi 8</v>
      </c>
      <c r="J16" s="51" t="str">
        <f t="shared" si="1"/>
        <v>CLI-TR-16</v>
      </c>
    </row>
    <row r="17" spans="2:10" s="38" customFormat="1" x14ac:dyDescent="0.25">
      <c r="B17" s="51" t="s">
        <v>38</v>
      </c>
      <c r="C17" s="51" t="s">
        <v>66</v>
      </c>
      <c r="D17" s="51">
        <v>10008</v>
      </c>
      <c r="E17" s="51" t="s">
        <v>67</v>
      </c>
      <c r="F17" s="51" t="s">
        <v>8</v>
      </c>
      <c r="G17" s="51">
        <v>678903518</v>
      </c>
      <c r="H17" s="59" t="s">
        <v>68</v>
      </c>
      <c r="I17" s="51" t="str">
        <f t="shared" si="0"/>
        <v>Cam-10008,Bonaberi 9</v>
      </c>
      <c r="J17" s="51" t="str">
        <f t="shared" si="1"/>
        <v>CLI-TR-17</v>
      </c>
    </row>
    <row r="18" spans="2:10" s="38" customFormat="1" x14ac:dyDescent="0.25">
      <c r="B18" s="51" t="s">
        <v>39</v>
      </c>
      <c r="C18" s="51" t="s">
        <v>69</v>
      </c>
      <c r="D18" s="51">
        <v>10009</v>
      </c>
      <c r="E18" s="51" t="s">
        <v>70</v>
      </c>
      <c r="F18" s="51" t="s">
        <v>8</v>
      </c>
      <c r="G18" s="51">
        <v>678903519</v>
      </c>
      <c r="H18" s="59" t="s">
        <v>71</v>
      </c>
      <c r="I18" s="51" t="str">
        <f t="shared" si="0"/>
        <v>Cam-10009,Bonaberi 10</v>
      </c>
      <c r="J18" s="51" t="str">
        <f t="shared" si="1"/>
        <v>CLI-TR-18</v>
      </c>
    </row>
    <row r="19" spans="2:10" s="38" customFormat="1" x14ac:dyDescent="0.25">
      <c r="B19" s="51" t="s">
        <v>40</v>
      </c>
      <c r="C19" s="51" t="s">
        <v>72</v>
      </c>
      <c r="D19" s="51">
        <v>10010</v>
      </c>
      <c r="E19" s="51" t="s">
        <v>73</v>
      </c>
      <c r="F19" s="51" t="s">
        <v>8</v>
      </c>
      <c r="G19" s="51">
        <v>678903520</v>
      </c>
      <c r="H19" s="59" t="s">
        <v>74</v>
      </c>
      <c r="I19" s="51" t="str">
        <f t="shared" si="0"/>
        <v>Cam-10010,Bonaberi 11</v>
      </c>
      <c r="J19" s="51" t="str">
        <f t="shared" si="1"/>
        <v>CLI-TR-19</v>
      </c>
    </row>
    <row r="20" spans="2:10" s="38" customFormat="1" x14ac:dyDescent="0.25">
      <c r="B20" s="51" t="s">
        <v>41</v>
      </c>
      <c r="C20" s="51" t="s">
        <v>75</v>
      </c>
      <c r="D20" s="51">
        <v>10011</v>
      </c>
      <c r="E20" s="51" t="s">
        <v>76</v>
      </c>
      <c r="F20" s="51" t="s">
        <v>8</v>
      </c>
      <c r="G20" s="51">
        <v>678903521</v>
      </c>
      <c r="H20" s="59" t="s">
        <v>77</v>
      </c>
      <c r="I20" s="51" t="str">
        <f t="shared" si="0"/>
        <v>Cam-10011,Bonaberi 12</v>
      </c>
      <c r="J20" s="51" t="str">
        <f t="shared" si="1"/>
        <v>CLI-TR-20</v>
      </c>
    </row>
    <row r="21" spans="2:10" s="38" customFormat="1" x14ac:dyDescent="0.25">
      <c r="B21" s="51" t="s">
        <v>42</v>
      </c>
      <c r="C21" s="51" t="s">
        <v>78</v>
      </c>
      <c r="D21" s="51">
        <v>10012</v>
      </c>
      <c r="E21" s="51" t="s">
        <v>79</v>
      </c>
      <c r="F21" s="51" t="s">
        <v>8</v>
      </c>
      <c r="G21" s="51">
        <v>678903522</v>
      </c>
      <c r="H21" s="59" t="s">
        <v>80</v>
      </c>
      <c r="I21" s="51" t="str">
        <f t="shared" si="0"/>
        <v>Cam-10012,Bonaberi 13</v>
      </c>
      <c r="J21" s="51" t="str">
        <f t="shared" si="1"/>
        <v>CLI-TR-21</v>
      </c>
    </row>
    <row r="22" spans="2:10" s="38" customFormat="1" x14ac:dyDescent="0.25">
      <c r="B22" s="51" t="s">
        <v>43</v>
      </c>
      <c r="C22" s="51" t="s">
        <v>81</v>
      </c>
      <c r="D22" s="51">
        <v>10013</v>
      </c>
      <c r="E22" s="51" t="s">
        <v>82</v>
      </c>
      <c r="F22" s="51" t="s">
        <v>8</v>
      </c>
      <c r="G22" s="51">
        <v>678903523</v>
      </c>
      <c r="H22" s="59" t="s">
        <v>83</v>
      </c>
      <c r="I22" s="51" t="str">
        <f t="shared" si="0"/>
        <v>Cam-10013,Bonaberi 14</v>
      </c>
      <c r="J22" s="51" t="str">
        <f t="shared" si="1"/>
        <v>CLI-TR-22</v>
      </c>
    </row>
    <row r="23" spans="2:10" s="38" customFormat="1" x14ac:dyDescent="0.25">
      <c r="B23" s="51" t="s">
        <v>44</v>
      </c>
      <c r="C23" s="51" t="s">
        <v>84</v>
      </c>
      <c r="D23" s="51">
        <v>10014</v>
      </c>
      <c r="E23" s="51" t="s">
        <v>85</v>
      </c>
      <c r="F23" s="51" t="s">
        <v>8</v>
      </c>
      <c r="G23" s="51">
        <v>678903524</v>
      </c>
      <c r="H23" s="59" t="s">
        <v>86</v>
      </c>
      <c r="I23" s="51" t="str">
        <f t="shared" si="0"/>
        <v>Cam-10014,Bonaberi 15</v>
      </c>
      <c r="J23" s="51" t="str">
        <f t="shared" si="1"/>
        <v>CLI-TR-23</v>
      </c>
    </row>
    <row r="24" spans="2:10" s="38" customFormat="1" x14ac:dyDescent="0.25">
      <c r="B24" s="51" t="s">
        <v>87</v>
      </c>
      <c r="C24" s="51" t="s">
        <v>88</v>
      </c>
      <c r="D24" s="51">
        <v>10015</v>
      </c>
      <c r="E24" s="51" t="s">
        <v>89</v>
      </c>
      <c r="F24" s="51" t="s">
        <v>8</v>
      </c>
      <c r="G24" s="51">
        <v>678903525</v>
      </c>
      <c r="H24" s="59" t="s">
        <v>90</v>
      </c>
      <c r="I24" s="51" t="str">
        <f t="shared" si="0"/>
        <v>Cam-10015,Bonaberi 16</v>
      </c>
      <c r="J24" s="51" t="str">
        <f t="shared" si="1"/>
        <v>CLI-TR-24</v>
      </c>
    </row>
    <row r="25" spans="2:10" s="38" customFormat="1" x14ac:dyDescent="0.25">
      <c r="B25" s="51" t="s">
        <v>244</v>
      </c>
      <c r="C25" s="51" t="s">
        <v>245</v>
      </c>
      <c r="D25" s="51">
        <v>10016</v>
      </c>
      <c r="E25" s="51" t="s">
        <v>246</v>
      </c>
      <c r="F25" s="51" t="s">
        <v>8</v>
      </c>
      <c r="G25" s="51">
        <v>678903526</v>
      </c>
      <c r="H25" s="59" t="s">
        <v>247</v>
      </c>
      <c r="I25" s="51" t="str">
        <f t="shared" ref="I25" si="2">CONCATENATE(LEFT(F25,3),"-",D25,",",E25)</f>
        <v>Cam-10016,Bonaberi 17</v>
      </c>
      <c r="J25" s="51" t="str">
        <f t="shared" si="1"/>
        <v>CLI-TR-25</v>
      </c>
    </row>
    <row r="26" spans="2:10" s="38" customFormat="1" x14ac:dyDescent="0.25">
      <c r="B26" s="60" t="s">
        <v>288</v>
      </c>
      <c r="C26" s="60" t="s">
        <v>289</v>
      </c>
      <c r="D26" s="60">
        <v>0</v>
      </c>
      <c r="E26" s="60" t="s">
        <v>290</v>
      </c>
      <c r="F26" s="60" t="s">
        <v>291</v>
      </c>
      <c r="G26" s="60">
        <v>671255399</v>
      </c>
      <c r="H26" s="61" t="s">
        <v>292</v>
      </c>
      <c r="I26" s="60" t="str">
        <f t="shared" ref="I26:I31" si="3">CONCATENATE(LEFT(F26,3),"-",D26,",",E26)</f>
        <v>CAM-0,DOUALA</v>
      </c>
      <c r="J26" s="51" t="str">
        <f t="shared" ref="J26:J31" si="4">CONCATENATE("CLI", "-", "TR", "-", TEXT(ROW(),"00"))</f>
        <v>CLI-TR-26</v>
      </c>
    </row>
    <row r="27" spans="2:10" s="38" customFormat="1" x14ac:dyDescent="0.25">
      <c r="B27" s="60" t="s">
        <v>332</v>
      </c>
      <c r="C27" s="60" t="s">
        <v>333</v>
      </c>
      <c r="D27" s="60">
        <v>3333</v>
      </c>
      <c r="E27" s="60" t="s">
        <v>334</v>
      </c>
      <c r="F27" s="60" t="s">
        <v>335</v>
      </c>
      <c r="G27" s="60">
        <v>444444</v>
      </c>
      <c r="H27" s="61" t="s">
        <v>336</v>
      </c>
      <c r="I27" s="60" t="str">
        <f t="shared" si="3"/>
        <v>jkd-3333,rlwfmkernf</v>
      </c>
      <c r="J27" s="60" t="str">
        <f t="shared" si="4"/>
        <v>CLI-TR-27</v>
      </c>
    </row>
    <row r="28" spans="2:10" s="38" customFormat="1" x14ac:dyDescent="0.25">
      <c r="B28" s="60" t="s">
        <v>337</v>
      </c>
      <c r="C28" s="60" t="s">
        <v>338</v>
      </c>
      <c r="D28" s="60">
        <v>37289</v>
      </c>
      <c r="E28" s="60" t="s">
        <v>290</v>
      </c>
      <c r="F28" s="60" t="s">
        <v>291</v>
      </c>
      <c r="G28" s="60">
        <v>54748394</v>
      </c>
      <c r="H28" s="61" t="s">
        <v>339</v>
      </c>
      <c r="I28" s="60" t="str">
        <f t="shared" si="3"/>
        <v>CAM-37289,DOUALA</v>
      </c>
      <c r="J28" s="60" t="str">
        <f t="shared" si="4"/>
        <v>CLI-TR-28</v>
      </c>
    </row>
    <row r="29" spans="2:10" s="38" customFormat="1" x14ac:dyDescent="0.25">
      <c r="B29" s="60" t="s">
        <v>341</v>
      </c>
      <c r="C29" s="60" t="s">
        <v>342</v>
      </c>
      <c r="D29" s="60">
        <v>23000</v>
      </c>
      <c r="E29" s="60" t="s">
        <v>343</v>
      </c>
      <c r="F29" s="60" t="s">
        <v>8</v>
      </c>
      <c r="G29" s="60">
        <v>65677798980</v>
      </c>
      <c r="H29" s="61" t="s">
        <v>344</v>
      </c>
      <c r="I29" s="60" t="str">
        <f t="shared" si="3"/>
        <v>Cam-23000,Douala</v>
      </c>
      <c r="J29" s="60" t="str">
        <f t="shared" si="4"/>
        <v>CLI-TR-29</v>
      </c>
    </row>
    <row r="30" spans="2:10" s="38" customFormat="1" x14ac:dyDescent="0.25">
      <c r="B30" s="60" t="s">
        <v>346</v>
      </c>
      <c r="C30" s="60" t="s">
        <v>347</v>
      </c>
      <c r="D30" s="60">
        <v>22355</v>
      </c>
      <c r="E30" s="60" t="s">
        <v>348</v>
      </c>
      <c r="F30" s="60" t="s">
        <v>349</v>
      </c>
      <c r="G30" s="60">
        <v>344455</v>
      </c>
      <c r="H30" s="61" t="s">
        <v>350</v>
      </c>
      <c r="I30" s="60" t="str">
        <f t="shared" si="3"/>
        <v>JBV-22355,JKDFS</v>
      </c>
      <c r="J30" s="60" t="str">
        <f t="shared" si="4"/>
        <v>CLI-TR-30</v>
      </c>
    </row>
    <row r="31" spans="2:10" s="38" customFormat="1" x14ac:dyDescent="0.25">
      <c r="B31" s="60" t="s">
        <v>352</v>
      </c>
      <c r="C31" s="60" t="s">
        <v>353</v>
      </c>
      <c r="D31" s="60">
        <v>73839</v>
      </c>
      <c r="E31" s="60" t="s">
        <v>354</v>
      </c>
      <c r="F31" s="60" t="s">
        <v>3</v>
      </c>
      <c r="G31" s="60">
        <v>56473833933</v>
      </c>
      <c r="H31" s="61" t="s">
        <v>355</v>
      </c>
      <c r="I31" s="60" t="str">
        <f t="shared" si="3"/>
        <v>Pay-73839,Bamakoland</v>
      </c>
      <c r="J31" s="60" t="str">
        <f t="shared" si="4"/>
        <v>CLI-TR-31</v>
      </c>
    </row>
    <row r="32" spans="2:10" s="38" customFormat="1" x14ac:dyDescent="0.25">
      <c r="B32" s="60" t="s">
        <v>366</v>
      </c>
      <c r="C32" s="60" t="s">
        <v>367</v>
      </c>
      <c r="D32" s="60">
        <v>435678</v>
      </c>
      <c r="E32" s="60" t="s">
        <v>368</v>
      </c>
      <c r="F32" s="60" t="s">
        <v>369</v>
      </c>
      <c r="G32" s="60">
        <v>693904197</v>
      </c>
      <c r="H32" s="61" t="s">
        <v>370</v>
      </c>
      <c r="I32" s="60" t="str">
        <f>CONCATENATE(LEFT(F32,3),"-",D32,",",E32)</f>
        <v>yao-435678,douala</v>
      </c>
      <c r="J32" s="60" t="str">
        <f>CONCATENATE("CLI", "-", "TR", "-", TEXT(ROW(),"00"))</f>
        <v>CLI-TR-32</v>
      </c>
    </row>
    <row r="33" spans="2:10" x14ac:dyDescent="0.25">
      <c r="B33" s="60" t="s">
        <v>441</v>
      </c>
      <c r="C33" s="60" t="s">
        <v>55</v>
      </c>
      <c r="D33" s="60">
        <v>1000</v>
      </c>
      <c r="E33" s="60" t="s">
        <v>343</v>
      </c>
      <c r="F33" s="60" t="s">
        <v>442</v>
      </c>
      <c r="G33" s="60">
        <v>5637893</v>
      </c>
      <c r="H33" s="61" t="s">
        <v>443</v>
      </c>
      <c r="I33" s="60" t="str">
        <f>CONCATENATE(LEFT(F33,3),"-",D33,",",E33)</f>
        <v>Nko-1000,Douala</v>
      </c>
      <c r="J33" s="60" t="str">
        <f>CONCATENATE("CLI", "-", "TR", "-", TEXT(ROW(),"00"))</f>
        <v>CLI-TR-33</v>
      </c>
    </row>
    <row r="34" spans="2:10" x14ac:dyDescent="0.25">
      <c r="B34" s="60" t="s">
        <v>464</v>
      </c>
      <c r="C34" s="60" t="s">
        <v>465</v>
      </c>
      <c r="D34" s="60">
        <v>10000</v>
      </c>
      <c r="E34" s="60" t="s">
        <v>343</v>
      </c>
      <c r="F34" s="60" t="s">
        <v>8</v>
      </c>
      <c r="G34" s="60">
        <v>60833738728</v>
      </c>
      <c r="H34" s="61" t="s">
        <v>466</v>
      </c>
      <c r="I34" s="60" t="str">
        <f>CONCATENATE(LEFT(F34,3),"-",D34,",",E34)</f>
        <v>Cam-10000,Douala</v>
      </c>
      <c r="J34" s="60" t="str">
        <f>CONCATENATE("CLI", "-", "TR", "-", TEXT(ROW(),"00"))</f>
        <v>CLI-TR-34</v>
      </c>
    </row>
    <row r="35" spans="2:10" x14ac:dyDescent="0.25">
      <c r="B35" s="60" t="s">
        <v>469</v>
      </c>
      <c r="C35" s="60" t="s">
        <v>470</v>
      </c>
      <c r="D35" s="60">
        <v>10000</v>
      </c>
      <c r="E35" s="60" t="s">
        <v>471</v>
      </c>
      <c r="F35" s="60" t="s">
        <v>8</v>
      </c>
      <c r="G35" s="60">
        <v>679891234</v>
      </c>
      <c r="H35" s="61" t="s">
        <v>472</v>
      </c>
      <c r="I35" s="60" t="str">
        <f>CONCATENATE(LEFT(F35,3),"-",D35,",",E35)</f>
        <v>Cam-10000,Doual</v>
      </c>
      <c r="J35" s="60" t="str">
        <f>CONCATENATE("CLI", "-", "TR", "-", TEXT(ROW(),"00"))</f>
        <v>CLI-TR-35</v>
      </c>
    </row>
    <row r="36" spans="2:10" x14ac:dyDescent="0.25">
      <c r="B36" s="60" t="s">
        <v>484</v>
      </c>
      <c r="C36" s="60" t="s">
        <v>470</v>
      </c>
      <c r="D36" s="60">
        <v>0</v>
      </c>
      <c r="E36" s="60" t="s">
        <v>343</v>
      </c>
      <c r="F36" s="60" t="s">
        <v>8</v>
      </c>
      <c r="G36" s="60">
        <v>693646080</v>
      </c>
      <c r="H36" s="61" t="s">
        <v>485</v>
      </c>
      <c r="I36" s="60" t="str">
        <f>CONCATENATE(LEFT(F36,3),"-",D36,",",E36)</f>
        <v>Cam-0,Douala</v>
      </c>
      <c r="J36" s="60" t="str">
        <f>CONCATENATE("CLI", "-", "TR", "-", TEXT(ROW(),"00"))</f>
        <v>CLI-TR-36</v>
      </c>
    </row>
  </sheetData>
  <phoneticPr fontId="2" type="noConversion"/>
  <hyperlinks>
    <hyperlink ref="H10" r:id="rId1" xr:uid="{29470937-04A0-486A-AE59-8B899DC48C86}"/>
    <hyperlink ref="H11" r:id="rId2" display="atanganajules90@gmail.com 1" xr:uid="{AD367CC1-8C20-4A25-839C-DF903143B431}"/>
    <hyperlink ref="H12" r:id="rId3" display="atanganajules90@gmail.com 1" xr:uid="{C61F0118-988B-48DA-8D62-2372AF99C48C}"/>
    <hyperlink ref="H13" r:id="rId4" display="atanganajules90@gmail.com 1" xr:uid="{BB5BBF65-BEF9-471C-BFFC-9291A50800E2}"/>
    <hyperlink ref="H14" r:id="rId5" display="atanganajules90@gmail.com 1" xr:uid="{EA8002A6-C7B9-4473-AB41-FDBC81F58EB9}"/>
    <hyperlink ref="H15" r:id="rId6" display="atanganajules90@gmail.com 1" xr:uid="{CB66AC98-A0F1-42EB-BEC4-3CC0015053B8}"/>
    <hyperlink ref="H16" r:id="rId7" display="atanganajules90@gmail.com 1" xr:uid="{42189C58-B91B-41E9-93A3-D1C1172A3338}"/>
    <hyperlink ref="H17" r:id="rId8" display="atanganajules90@gmail.com 1" xr:uid="{EBF9B850-59EF-44FF-A666-D7EAE9C79C38}"/>
    <hyperlink ref="H18" r:id="rId9" display="atanganajules90@gmail.com 1" xr:uid="{788FA366-B89A-4C47-BC7B-7E75603FC50D}"/>
    <hyperlink ref="H19" r:id="rId10" display="atanganajules90@gmail.com 1" xr:uid="{4D65932E-E40D-4106-83A9-61387621F1E0}"/>
    <hyperlink ref="H20" r:id="rId11" display="atanganajules90@gmail.com 1" xr:uid="{FA19D014-B87A-4071-BA0A-3F945A3E26EA}"/>
    <hyperlink ref="H21" r:id="rId12" display="atanganajules90@gmail.com 1" xr:uid="{83B5FA99-1E59-4849-A0C9-CA08DB7F7E9A}"/>
    <hyperlink ref="H22" r:id="rId13" display="atanganajules90@gmail.com 1" xr:uid="{D0CCCFB4-F8A3-4341-9F16-36109DF2F005}"/>
    <hyperlink ref="H23" r:id="rId14" display="atanganajules90@gmail.com 1" xr:uid="{7A259268-43FB-478D-A93D-196618943761}"/>
    <hyperlink ref="H24" r:id="rId15" display="atanganajules90@gmail.com 1" xr:uid="{E590D371-D542-493F-A12C-F007E917267A}"/>
    <hyperlink ref="H25" r:id="rId16" display="atanganajules90@gmail.com 1" xr:uid="{ADC598CB-CFDD-42AD-966A-75A6F6EF9376}"/>
  </hyperlinks>
  <pageMargins left="0.7" right="0.7" top="0.75" bottom="0.75" header="0.3" footer="0.3"/>
  <pageSetup paperSize="9" orientation="portrait" r:id="rId17"/>
  <drawing r:id="rId18"/>
  <legacyDrawing r:id="rId19"/>
  <controls>
    <mc:AlternateContent xmlns:mc="http://schemas.openxmlformats.org/markup-compatibility/2006">
      <mc:Choice Requires="x14">
        <control shapeId="8193" r:id="rId20" name="CommandButton1">
          <controlPr defaultSize="0" autoLine="0" autoPict="0" r:id="rId21">
            <anchor moveWithCells="1">
              <from>
                <xdr:col>4</xdr:col>
                <xdr:colOff>38100</xdr:colOff>
                <xdr:row>3</xdr:row>
                <xdr:rowOff>142875</xdr:rowOff>
              </from>
              <to>
                <xdr:col>5</xdr:col>
                <xdr:colOff>628650</xdr:colOff>
                <xdr:row>6</xdr:row>
                <xdr:rowOff>57150</xdr:rowOff>
              </to>
            </anchor>
          </controlPr>
        </control>
      </mc:Choice>
      <mc:Fallback>
        <control shapeId="8193" r:id="rId20" name="CommandButton1"/>
      </mc:Fallback>
    </mc:AlternateContent>
  </controls>
  <tableParts count="1">
    <tablePart r:id="rId2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E2136-CEF4-4923-B818-907C9EC89C5F}">
  <sheetPr codeName="Feuil8"/>
  <dimension ref="B17:L59"/>
  <sheetViews>
    <sheetView showGridLines="0" topLeftCell="D1" zoomScale="148" zoomScaleNormal="100" workbookViewId="0">
      <selection activeCell="G10" sqref="G10"/>
    </sheetView>
  </sheetViews>
  <sheetFormatPr baseColWidth="10" defaultRowHeight="15" x14ac:dyDescent="0.25"/>
  <cols>
    <col min="2" max="2" width="20.140625" customWidth="1"/>
    <col min="3" max="3" width="25" customWidth="1"/>
    <col min="4" max="4" width="26.85546875" customWidth="1"/>
    <col min="5" max="5" width="12.7109375" customWidth="1"/>
    <col min="6" max="6" width="10.5703125" customWidth="1"/>
    <col min="7" max="7" width="16.85546875" customWidth="1"/>
    <col min="8" max="8" width="14.28515625" customWidth="1"/>
    <col min="9" max="9" width="13.140625" customWidth="1"/>
  </cols>
  <sheetData>
    <row r="17" spans="2:12" x14ac:dyDescent="0.25">
      <c r="B17" s="2" t="s">
        <v>18</v>
      </c>
      <c r="C17" s="3"/>
      <c r="D17" s="3"/>
    </row>
    <row r="18" spans="2:12" ht="16.5" customHeight="1" thickBot="1" x14ac:dyDescent="0.3">
      <c r="B18" s="1"/>
      <c r="C18" s="1"/>
      <c r="D18" s="1"/>
      <c r="L18" s="29"/>
    </row>
    <row r="19" spans="2:12" ht="15.75" thickBot="1" x14ac:dyDescent="0.3">
      <c r="B19" s="4" t="s">
        <v>19</v>
      </c>
      <c r="C19" s="5" t="s">
        <v>20</v>
      </c>
      <c r="D19" s="5">
        <v>39</v>
      </c>
      <c r="E19" s="5" t="str">
        <f>C19 &amp; TEXT(D19,"0000")</f>
        <v>ART-0039</v>
      </c>
    </row>
    <row r="20" spans="2:12" ht="15.75" thickBot="1" x14ac:dyDescent="0.3">
      <c r="B20" s="4" t="s">
        <v>142</v>
      </c>
      <c r="C20" s="5" t="s">
        <v>143</v>
      </c>
      <c r="D20" s="5" t="s">
        <v>490</v>
      </c>
    </row>
    <row r="21" spans="2:12" ht="15.75" thickBot="1" x14ac:dyDescent="0.3">
      <c r="B21" s="4" t="s">
        <v>172</v>
      </c>
      <c r="C21" s="5" t="s">
        <v>173</v>
      </c>
      <c r="D21" s="5" t="s">
        <v>494</v>
      </c>
    </row>
    <row r="22" spans="2:12" ht="15.75" thickBot="1" x14ac:dyDescent="0.3">
      <c r="B22" s="4" t="s">
        <v>240</v>
      </c>
      <c r="C22" s="5" t="s">
        <v>286</v>
      </c>
      <c r="D22" s="5" t="s">
        <v>287</v>
      </c>
      <c r="E22" s="5"/>
    </row>
    <row r="29" spans="2:12" x14ac:dyDescent="0.25">
      <c r="B29" s="2" t="s">
        <v>199</v>
      </c>
      <c r="C29" s="3"/>
      <c r="D29" s="3"/>
      <c r="G29" s="2" t="s">
        <v>328</v>
      </c>
      <c r="H29" s="3"/>
      <c r="I29" s="3"/>
    </row>
    <row r="30" spans="2:12" ht="15.75" thickBot="1" x14ac:dyDescent="0.3">
      <c r="B30" s="1"/>
      <c r="C30" s="1"/>
      <c r="D30" s="1"/>
    </row>
    <row r="31" spans="2:12" ht="15.75" thickBot="1" x14ac:dyDescent="0.3">
      <c r="B31" s="4" t="s">
        <v>200</v>
      </c>
      <c r="C31" s="5" t="s">
        <v>206</v>
      </c>
      <c r="D31" s="37">
        <f>SUM(Tableau5[Valeur Stock])</f>
        <v>622886750</v>
      </c>
      <c r="G31" s="4" t="s">
        <v>266</v>
      </c>
      <c r="H31" s="5">
        <f>SUMIF(Tableau7[Type],"Entree",Tableau7[Quantite])</f>
        <v>6555</v>
      </c>
      <c r="I31" s="40">
        <f>SUMIF(Tableau7[Type],"Sortie",Tableau7[Quantite])</f>
        <v>910</v>
      </c>
    </row>
    <row r="32" spans="2:12" ht="15.75" thickBot="1" x14ac:dyDescent="0.3">
      <c r="B32" s="4" t="s">
        <v>201</v>
      </c>
      <c r="C32" s="5" t="s">
        <v>207</v>
      </c>
      <c r="D32" s="5">
        <f>COUNTIF(Tableau3[Check],"Open")</f>
        <v>11</v>
      </c>
      <c r="G32" s="4" t="s">
        <v>270</v>
      </c>
      <c r="H32" s="5">
        <f>SUMPRODUCT((Tableau7[Type]="Entree")*(Tableau7[Quantite])*(Tableau7[Prix unitaire]))</f>
        <v>854271000</v>
      </c>
      <c r="I32" s="40">
        <f>SUMPRODUCT((Tableau7[Type]="Sortie")*(Tableau7[Quantite])*(Tableau7[Prix unitaire]))</f>
        <v>231809000</v>
      </c>
      <c r="J32" s="5">
        <f>H32-I32</f>
        <v>622462000</v>
      </c>
      <c r="K32" s="5">
        <f>'DEPENSES CMD'!B102</f>
        <v>219361200</v>
      </c>
    </row>
    <row r="33" spans="2:11" ht="15.75" thickBot="1" x14ac:dyDescent="0.3">
      <c r="B33" s="4" t="s">
        <v>202</v>
      </c>
      <c r="C33" s="5" t="s">
        <v>208</v>
      </c>
      <c r="D33" s="5">
        <f>COUNTIF(Tableau5[Flag],1)</f>
        <v>0</v>
      </c>
      <c r="K33" s="5">
        <f>J32-K32</f>
        <v>403100800</v>
      </c>
    </row>
    <row r="34" spans="2:11" ht="15.75" thickBot="1" x14ac:dyDescent="0.3">
      <c r="B34" s="4" t="s">
        <v>203</v>
      </c>
      <c r="C34" s="5" t="s">
        <v>209</v>
      </c>
      <c r="D34" s="5">
        <f>COUNTIF(Tableau5[Status],"Actif")</f>
        <v>28</v>
      </c>
    </row>
    <row r="35" spans="2:11" ht="15.75" thickBot="1" x14ac:dyDescent="0.3">
      <c r="B35" s="4" t="s">
        <v>204</v>
      </c>
      <c r="C35" s="5" t="s">
        <v>210</v>
      </c>
      <c r="D35" s="5">
        <f>SUM(Tableau5[Quantite])</f>
        <v>4971</v>
      </c>
    </row>
    <row r="36" spans="2:11" ht="15.75" thickBot="1" x14ac:dyDescent="0.3">
      <c r="B36" s="4" t="s">
        <v>205</v>
      </c>
      <c r="C36" s="5" t="s">
        <v>211</v>
      </c>
      <c r="D36" s="5" t="str">
        <f>IFERROR(INDEX(Tableau7[Num Article],MATCH(1,Tableau7[Ranking],0)),"")</f>
        <v>ART-00009</v>
      </c>
      <c r="E36" s="5" t="str">
        <f>IFERROR(INDEX(Tableau7[Num Article],MATCH(2,Tableau7[Ranking],0)),"")</f>
        <v>ART-00004</v>
      </c>
      <c r="F36" s="5" t="str">
        <f>IFERROR(INDEX(Tableau7[Num Article],MATCH(3,Tableau7[Ranking],0)),"")</f>
        <v>ART-00006</v>
      </c>
    </row>
    <row r="37" spans="2:11" x14ac:dyDescent="0.25">
      <c r="D37" s="5" t="s">
        <v>217</v>
      </c>
      <c r="E37" s="5" t="s">
        <v>218</v>
      </c>
      <c r="F37" s="5" t="s">
        <v>219</v>
      </c>
    </row>
    <row r="42" spans="2:11" x14ac:dyDescent="0.25">
      <c r="B42" s="2" t="s">
        <v>228</v>
      </c>
      <c r="C42" s="3"/>
      <c r="D42" s="3"/>
    </row>
    <row r="43" spans="2:11" ht="15.75" thickBot="1" x14ac:dyDescent="0.3"/>
    <row r="44" spans="2:11" ht="15.75" thickBot="1" x14ac:dyDescent="0.3">
      <c r="B44" s="4" t="s">
        <v>229</v>
      </c>
      <c r="C44" s="5" t="s">
        <v>365</v>
      </c>
      <c r="G44" s="2" t="s">
        <v>324</v>
      </c>
      <c r="H44" s="3"/>
      <c r="I44" s="3"/>
    </row>
    <row r="45" spans="2:11" ht="15.75" thickBot="1" x14ac:dyDescent="0.3">
      <c r="B45" s="4" t="s">
        <v>230</v>
      </c>
      <c r="C45" s="5" t="s">
        <v>19</v>
      </c>
    </row>
    <row r="46" spans="2:11" ht="15.75" thickBot="1" x14ac:dyDescent="0.3">
      <c r="B46" s="4" t="s">
        <v>231</v>
      </c>
      <c r="C46" s="5" t="s">
        <v>142</v>
      </c>
    </row>
    <row r="47" spans="2:11" ht="15.75" thickBot="1" x14ac:dyDescent="0.3">
      <c r="B47" s="4" t="s">
        <v>232</v>
      </c>
      <c r="C47" s="5" t="s">
        <v>238</v>
      </c>
      <c r="G47" s="43" t="s">
        <v>327</v>
      </c>
      <c r="H47" s="44">
        <f>COUNTIFS(Tableau5[Categorie],"Electronique")</f>
        <v>4</v>
      </c>
    </row>
    <row r="48" spans="2:11" ht="15.75" thickBot="1" x14ac:dyDescent="0.3">
      <c r="B48" s="4" t="s">
        <v>233</v>
      </c>
      <c r="C48" s="5" t="s">
        <v>172</v>
      </c>
      <c r="G48" s="43" t="s">
        <v>326</v>
      </c>
      <c r="H48" s="44">
        <f>COUNTIFS(Tableau5[Categorie],"Boisson")</f>
        <v>6</v>
      </c>
    </row>
    <row r="49" spans="2:8" ht="15.75" thickBot="1" x14ac:dyDescent="0.3">
      <c r="B49" s="4" t="s">
        <v>234</v>
      </c>
      <c r="C49" s="5" t="s">
        <v>96</v>
      </c>
      <c r="G49" s="43" t="s">
        <v>384</v>
      </c>
      <c r="H49" s="44">
        <f>COUNTIFS(Tableau5[Categorie]," Hygiène|Beauté")</f>
        <v>3</v>
      </c>
    </row>
    <row r="50" spans="2:8" ht="15.75" thickBot="1" x14ac:dyDescent="0.3">
      <c r="B50" s="4" t="s">
        <v>235</v>
      </c>
      <c r="C50" s="5" t="s">
        <v>171</v>
      </c>
      <c r="G50" s="43" t="s">
        <v>325</v>
      </c>
      <c r="H50" s="44">
        <f>COUNTIFS(Tableau5[Categorie],"Alimentation")</f>
        <v>7</v>
      </c>
    </row>
    <row r="51" spans="2:8" ht="15.75" thickBot="1" x14ac:dyDescent="0.3">
      <c r="B51" s="4" t="s">
        <v>236</v>
      </c>
      <c r="C51" s="5" t="s">
        <v>239</v>
      </c>
      <c r="G51" s="49" t="s">
        <v>385</v>
      </c>
      <c r="H51" s="44">
        <f>COUNTIFS(Tableau5[Categorie]," Entretien")</f>
        <v>2</v>
      </c>
    </row>
    <row r="52" spans="2:8" ht="15.75" thickBot="1" x14ac:dyDescent="0.3">
      <c r="B52" s="4" t="s">
        <v>237</v>
      </c>
      <c r="C52" s="5" t="s">
        <v>240</v>
      </c>
      <c r="G52" s="43" t="s">
        <v>390</v>
      </c>
      <c r="H52" s="44">
        <f>COUNTIFS(Tableau5[Categorie],"Papeterie")</f>
        <v>1</v>
      </c>
    </row>
    <row r="53" spans="2:8" ht="15.75" thickBot="1" x14ac:dyDescent="0.3">
      <c r="B53" s="4" t="s">
        <v>363</v>
      </c>
      <c r="C53" s="5" t="s">
        <v>364</v>
      </c>
      <c r="G53" s="43" t="s">
        <v>391</v>
      </c>
      <c r="H53" s="44">
        <f>COUNTIFS(Tableau5[Categorie],"Bébé")</f>
        <v>3</v>
      </c>
    </row>
    <row r="54" spans="2:8" ht="15.75" thickBot="1" x14ac:dyDescent="0.3">
      <c r="B54" s="4" t="s">
        <v>429</v>
      </c>
      <c r="C54" s="5" t="s">
        <v>430</v>
      </c>
      <c r="G54" s="43" t="s">
        <v>392</v>
      </c>
      <c r="H54" s="44">
        <f>COUNTIFS(Tableau5[Categorie],"Auto|Moto")</f>
        <v>2</v>
      </c>
    </row>
    <row r="55" spans="2:8" x14ac:dyDescent="0.25">
      <c r="G55" s="49" t="s">
        <v>393</v>
      </c>
      <c r="H55" s="50">
        <f>COUNTIFS(Tableau5[Categorie]," Bricolage")</f>
        <v>1</v>
      </c>
    </row>
    <row r="57" spans="2:8" x14ac:dyDescent="0.25">
      <c r="B57" s="2" t="s">
        <v>402</v>
      </c>
      <c r="C57" s="3"/>
      <c r="D57" s="3"/>
    </row>
    <row r="58" spans="2:8" ht="15.75" thickBot="1" x14ac:dyDescent="0.3"/>
    <row r="59" spans="2:8" ht="15.75" thickBot="1" x14ac:dyDescent="0.3">
      <c r="B59" s="4" t="s">
        <v>403</v>
      </c>
      <c r="C59" s="5" t="s">
        <v>404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AB40D-133C-413F-B369-EA8C6FB7634C}">
  <sheetPr codeName="Feuil9">
    <pageSetUpPr fitToPage="1"/>
  </sheetPr>
  <dimension ref="B5:F62"/>
  <sheetViews>
    <sheetView showGridLines="0" zoomScale="106" workbookViewId="0">
      <selection activeCell="E16" sqref="E16"/>
    </sheetView>
  </sheetViews>
  <sheetFormatPr baseColWidth="10" defaultRowHeight="15" x14ac:dyDescent="0.25"/>
  <cols>
    <col min="2" max="2" width="16.42578125" customWidth="1"/>
    <col min="3" max="3" width="34.85546875" customWidth="1"/>
    <col min="4" max="4" width="14.7109375" customWidth="1"/>
    <col min="5" max="5" width="17" customWidth="1"/>
    <col min="6" max="6" width="21.140625" customWidth="1"/>
  </cols>
  <sheetData>
    <row r="5" spans="2:5" ht="46.5" x14ac:dyDescent="0.7">
      <c r="C5" s="18"/>
      <c r="D5" s="19"/>
      <c r="E5" s="19"/>
    </row>
    <row r="7" spans="2:5" x14ac:dyDescent="0.25">
      <c r="B7" t="s">
        <v>431</v>
      </c>
    </row>
    <row r="8" spans="2:5" x14ac:dyDescent="0.25">
      <c r="B8" t="s">
        <v>431</v>
      </c>
    </row>
    <row r="9" spans="2:5" x14ac:dyDescent="0.25">
      <c r="B9" t="s">
        <v>434</v>
      </c>
      <c r="E9" t="s">
        <v>484</v>
      </c>
    </row>
    <row r="10" spans="2:5" x14ac:dyDescent="0.25">
      <c r="B10" t="s">
        <v>161</v>
      </c>
      <c r="E10" t="s">
        <v>162</v>
      </c>
    </row>
    <row r="11" spans="2:5" x14ac:dyDescent="0.25">
      <c r="B11" t="s">
        <v>194</v>
      </c>
      <c r="E11" t="s">
        <v>498</v>
      </c>
    </row>
    <row r="12" spans="2:5" x14ac:dyDescent="0.25">
      <c r="B12" s="25" t="s">
        <v>3</v>
      </c>
      <c r="E12" s="25" t="s">
        <v>8</v>
      </c>
    </row>
    <row r="13" spans="2:5" x14ac:dyDescent="0.25">
      <c r="B13" s="25" t="s">
        <v>1</v>
      </c>
      <c r="E13" s="25" t="str">
        <f>CONCATENATE("Cam","-","1000","-","Douala")</f>
        <v>Cam-1000-Douala</v>
      </c>
    </row>
    <row r="14" spans="2:5" x14ac:dyDescent="0.25">
      <c r="B14" s="25" t="s">
        <v>7</v>
      </c>
      <c r="E14" s="25">
        <v>1000</v>
      </c>
    </row>
    <row r="15" spans="2:5" x14ac:dyDescent="0.25">
      <c r="B15" s="25" t="s">
        <v>4</v>
      </c>
      <c r="E15" s="25">
        <v>693646080</v>
      </c>
    </row>
    <row r="16" spans="2:5" x14ac:dyDescent="0.25">
      <c r="B16" s="25" t="s">
        <v>5</v>
      </c>
      <c r="E16" s="26" t="s">
        <v>475</v>
      </c>
    </row>
    <row r="18" spans="2:6" x14ac:dyDescent="0.25">
      <c r="B18" t="s">
        <v>431</v>
      </c>
    </row>
    <row r="19" spans="2:6" x14ac:dyDescent="0.25">
      <c r="B19" t="s">
        <v>431</v>
      </c>
    </row>
    <row r="21" spans="2:6" x14ac:dyDescent="0.25">
      <c r="B21" s="1"/>
      <c r="C21" s="1"/>
      <c r="D21" s="1"/>
      <c r="E21" s="1" t="str">
        <f t="array" ref="E21">IFERROR(INDEX(Tableau5[Prix Unitaire],SMALL(IF((Tableau7[Num Facture]=FACTURE!$E$11)*(Tableau7[Nom Article]=Tableau5[Nom]),ROW(Tableau5[Prix Unitaire])-5),ROW()-21)),"")</f>
        <v/>
      </c>
      <c r="F21" s="1"/>
    </row>
    <row r="22" spans="2:6" x14ac:dyDescent="0.25">
      <c r="B22" s="1">
        <f t="shared" ref="B22:B47" si="0">IF(C22&lt;&gt;"",ROW()-21,"")</f>
        <v>1</v>
      </c>
      <c r="C22" s="1" t="str">
        <f t="array" ref="C22">IFERROR(INDEX(Tableau11[Nom Article],SMALL(IF(Tableau11[Numero Facture]=FACTURE!$E$11,ROW(Tableau11[Nom Article])-5),ROW()-21)),"")</f>
        <v>Yana Farine de Ble (2,5 Kg)</v>
      </c>
      <c r="D22" s="1">
        <f t="array" ref="D22">IFERROR(INDEX(Tableau11[Quantite],SMALL(IF(Tableau11[Numero Facture]=FACTURE!$E$11,ROW(Tableau11[Quantite])-5),ROW()-21)),"")</f>
        <v>10</v>
      </c>
      <c r="E22" s="6">
        <f t="array" ref="E22">IFERROR(INDEX(Tableau11[Prix Unitaire],SMALL(IF(Tableau11[Numero Facture]=FACTURE!$E$11,ROW(Tableau11[Prix Unitaire])-5),ROW()-21)),"")</f>
        <v>1250</v>
      </c>
      <c r="F22" s="36">
        <f>IFERROR(D22*E22, "")</f>
        <v>12500</v>
      </c>
    </row>
    <row r="23" spans="2:6" x14ac:dyDescent="0.25">
      <c r="B23" s="1">
        <f t="shared" si="0"/>
        <v>2</v>
      </c>
      <c r="C23" s="1" t="str">
        <f t="array" ref="C23">IFERROR(INDEX(Tableau11[Nom Article],SMALL(IF(Tableau11[Numero Facture]=FACTURE!$E$11,ROW(Tableau11[Nom Article])-5),ROW()-21)),"")</f>
        <v>Riz Bijou Gold 3kg</v>
      </c>
      <c r="D23" s="1">
        <f t="array" ref="D23">IFERROR(INDEX(Tableau11[Quantite],SMALL(IF(Tableau11[Numero Facture]=FACTURE!$E$11,ROW(Tableau11[Quantite])-5),ROW()-21)),"")</f>
        <v>5</v>
      </c>
      <c r="E23" s="6">
        <f t="array" ref="E23">IFERROR(INDEX(Tableau11[Prix Unitaire],SMALL(IF(Tableau11[Numero Facture]=FACTURE!$E$11,ROW(Tableau11[Prix Unitaire])-5),ROW()-21)),"")</f>
        <v>2200</v>
      </c>
      <c r="F23" s="36">
        <f t="shared" ref="F23:F47" si="1">IFERROR(D23*E23, "")</f>
        <v>11000</v>
      </c>
    </row>
    <row r="24" spans="2:6" x14ac:dyDescent="0.25">
      <c r="B24" s="1">
        <f t="shared" si="0"/>
        <v>3</v>
      </c>
      <c r="C24" s="1" t="str">
        <f t="array" ref="C24">IFERROR(INDEX(Tableau11[Nom Article],SMALL(IF(Tableau11[Numero Facture]=FACTURE!$E$11,ROW(Tableau11[Nom Article])-5),ROW()-21)),"")</f>
        <v>Huile Mayor (1L)</v>
      </c>
      <c r="D24" s="1">
        <f t="array" ref="D24">IFERROR(INDEX(Tableau11[Quantite],SMALL(IF(Tableau11[Numero Facture]=FACTURE!$E$11,ROW(Tableau11[Quantite])-5),ROW()-21)),"")</f>
        <v>5</v>
      </c>
      <c r="E24" s="6">
        <f t="array" ref="E24">IFERROR(INDEX(Tableau11[Prix Unitaire],SMALL(IF(Tableau11[Numero Facture]=FACTURE!$E$11,ROW(Tableau11[Prix Unitaire])-5),ROW()-21)),"")</f>
        <v>1500</v>
      </c>
      <c r="F24" s="36">
        <f t="shared" si="1"/>
        <v>7500</v>
      </c>
    </row>
    <row r="25" spans="2:6" x14ac:dyDescent="0.25">
      <c r="B25" s="1" t="str">
        <f t="shared" si="0"/>
        <v/>
      </c>
      <c r="C25" s="1" t="str">
        <f t="array" ref="C25">IFERROR(INDEX(Tableau11[Nom Article],SMALL(IF(Tableau11[Numero Facture]=FACTURE!$E$11,ROW(Tableau11[Nom Article])-5),ROW()-21)),"")</f>
        <v/>
      </c>
      <c r="D25" s="1" t="str">
        <f t="array" ref="D25">IFERROR(INDEX(Tableau11[Quantite],SMALL(IF(Tableau11[Numero Facture]=FACTURE!$E$11,ROW(Tableau11[Quantite])-5),ROW()-21)),"")</f>
        <v/>
      </c>
      <c r="E25" s="1" t="str">
        <f t="array" ref="E25">IFERROR(INDEX(Tableau11[Prix Unitaire],SMALL(IF(Tableau11[Numero Facture]=FACTURE!$E$11,ROW(Tableau11[Prix Unitaire])-5),ROW()-21)),"")</f>
        <v/>
      </c>
      <c r="F25" s="36" t="str">
        <f t="shared" si="1"/>
        <v/>
      </c>
    </row>
    <row r="26" spans="2:6" x14ac:dyDescent="0.25">
      <c r="B26" s="1" t="str">
        <f t="shared" si="0"/>
        <v/>
      </c>
      <c r="C26" s="1" t="str">
        <f t="array" ref="C26">IFERROR(INDEX(Tableau11[Nom Article],SMALL(IF(Tableau11[Numero Facture]=FACTURE!$E$11,ROW(Tableau11[Nom Article])-5),ROW()-21)),"")</f>
        <v/>
      </c>
      <c r="D26" s="1" t="str">
        <f t="array" ref="D26">IFERROR(INDEX(Tableau11[Quantite],SMALL(IF(Tableau11[Numero Facture]=FACTURE!$E$11,ROW(Tableau11[Quantite])-5),ROW()-21)),"")</f>
        <v/>
      </c>
      <c r="E26" s="1" t="str">
        <f t="array" ref="E26">IFERROR(INDEX(Tableau11[Prix Unitaire],SMALL(IF(Tableau11[Numero Facture]=FACTURE!$E$11,ROW(Tableau11[Prix Unitaire])-5),ROW()-21)),"")</f>
        <v/>
      </c>
      <c r="F26" s="36" t="str">
        <f t="shared" si="1"/>
        <v/>
      </c>
    </row>
    <row r="27" spans="2:6" x14ac:dyDescent="0.25">
      <c r="B27" s="1" t="str">
        <f t="shared" si="0"/>
        <v/>
      </c>
      <c r="C27" s="1" t="str">
        <f t="array" ref="C27">IFERROR(INDEX(Tableau11[Nom Article],SMALL(IF(Tableau11[Numero Facture]=FACTURE!$E$11,ROW(Tableau11[Nom Article])-5),ROW()-21)),"")</f>
        <v/>
      </c>
      <c r="D27" s="1" t="str">
        <f t="array" ref="D27">IFERROR(INDEX(Tableau11[Quantite],SMALL(IF(Tableau11[Numero Facture]=FACTURE!$E$11,ROW(Tableau11[Quantite])-5),ROW()-21)),"")</f>
        <v/>
      </c>
      <c r="E27" s="1" t="str">
        <f t="array" ref="E27">IFERROR(INDEX(Tableau11[Prix Unitaire],SMALL(IF(Tableau11[Numero Facture]=FACTURE!$E$11,ROW(Tableau11[Prix Unitaire])-5),ROW()-21)),"")</f>
        <v/>
      </c>
      <c r="F27" s="36" t="str">
        <f t="shared" si="1"/>
        <v/>
      </c>
    </row>
    <row r="28" spans="2:6" x14ac:dyDescent="0.25">
      <c r="B28" s="1" t="str">
        <f t="shared" si="0"/>
        <v/>
      </c>
      <c r="C28" s="1" t="str">
        <f t="array" ref="C28">IFERROR(INDEX(Tableau11[Nom Article],SMALL(IF(Tableau11[Numero Facture]=FACTURE!$E$11,ROW(Tableau11[Nom Article])-5),ROW()-21)),"")</f>
        <v/>
      </c>
      <c r="D28" s="1" t="str">
        <f t="array" ref="D28">IFERROR(INDEX(Tableau11[Quantite],SMALL(IF(Tableau11[Numero Facture]=FACTURE!$E$11,ROW(Tableau11[Quantite])-5),ROW()-21)),"")</f>
        <v/>
      </c>
      <c r="E28" s="1" t="str">
        <f t="array" ref="E28">IFERROR(INDEX(Tableau11[Prix Unitaire],SMALL(IF(Tableau11[Numero Facture]=FACTURE!$E$11,ROW(Tableau11[Prix Unitaire])-5),ROW()-21)),"")</f>
        <v/>
      </c>
      <c r="F28" s="36" t="str">
        <f t="shared" si="1"/>
        <v/>
      </c>
    </row>
    <row r="29" spans="2:6" x14ac:dyDescent="0.25">
      <c r="B29" s="1" t="str">
        <f t="shared" si="0"/>
        <v/>
      </c>
      <c r="C29" s="1" t="str">
        <f t="array" ref="C29">IFERROR(INDEX(Tableau11[Nom Article],SMALL(IF(Tableau11[Numero Facture]=FACTURE!$E$11,ROW(Tableau11[Nom Article])-5),ROW()-21)),"")</f>
        <v/>
      </c>
      <c r="D29" s="1" t="str">
        <f t="array" ref="D29">IFERROR(INDEX(Tableau11[Quantite],SMALL(IF(Tableau11[Numero Facture]=FACTURE!$E$11,ROW(Tableau11[Quantite])-5),ROW()-21)),"")</f>
        <v/>
      </c>
      <c r="E29" s="1" t="str">
        <f t="array" ref="E29">IFERROR(INDEX(Tableau11[Prix Unitaire],SMALL(IF(Tableau11[Numero Facture]=FACTURE!$E$11,ROW(Tableau11[Prix Unitaire])-5),ROW()-21)),"")</f>
        <v/>
      </c>
      <c r="F29" s="36" t="str">
        <f t="shared" si="1"/>
        <v/>
      </c>
    </row>
    <row r="30" spans="2:6" x14ac:dyDescent="0.25">
      <c r="B30" s="1" t="str">
        <f t="shared" si="0"/>
        <v/>
      </c>
      <c r="C30" s="1" t="str">
        <f t="array" ref="C30">IFERROR(INDEX(Tableau11[Nom Article],SMALL(IF(Tableau11[Numero Facture]=FACTURE!$E$11,ROW(Tableau11[Nom Article])-5),ROW()-21)),"")</f>
        <v/>
      </c>
      <c r="D30" s="1" t="str">
        <f t="array" ref="D30">IFERROR(INDEX(Tableau11[Quantite],SMALL(IF(Tableau11[Numero Facture]=FACTURE!$E$11,ROW(Tableau11[Quantite])-5),ROW()-21)),"")</f>
        <v/>
      </c>
      <c r="E30" s="1" t="str">
        <f t="array" ref="E30">IFERROR(INDEX(Tableau11[Prix Unitaire],SMALL(IF(Tableau11[Numero Facture]=FACTURE!$E$11,ROW(Tableau11[Prix Unitaire])-5),ROW()-21)),"")</f>
        <v/>
      </c>
      <c r="F30" s="36" t="str">
        <f t="shared" si="1"/>
        <v/>
      </c>
    </row>
    <row r="31" spans="2:6" x14ac:dyDescent="0.25">
      <c r="B31" s="1" t="str">
        <f t="shared" si="0"/>
        <v/>
      </c>
      <c r="C31" s="1" t="str">
        <f t="array" ref="C31">IFERROR(INDEX(Tableau11[Nom Article],SMALL(IF(Tableau11[Numero Facture]=FACTURE!$E$11,ROW(Tableau11[Nom Article])-5),ROW()-21)),"")</f>
        <v/>
      </c>
      <c r="D31" s="1" t="str">
        <f t="array" ref="D31">IFERROR(INDEX(Tableau11[Quantite],SMALL(IF(Tableau11[Numero Facture]=FACTURE!$E$11,ROW(Tableau11[Quantite])-5),ROW()-21)),"")</f>
        <v/>
      </c>
      <c r="E31" s="1" t="str">
        <f t="array" ref="E31">IFERROR(INDEX(Tableau11[Prix Unitaire],SMALL(IF(Tableau11[Numero Facture]=FACTURE!$E$11,ROW(Tableau11[Prix Unitaire])-5),ROW()-21)),"")</f>
        <v/>
      </c>
      <c r="F31" s="36" t="str">
        <f t="shared" si="1"/>
        <v/>
      </c>
    </row>
    <row r="32" spans="2:6" x14ac:dyDescent="0.25">
      <c r="B32" s="1" t="str">
        <f t="shared" si="0"/>
        <v/>
      </c>
      <c r="C32" s="1" t="str">
        <f t="array" ref="C32">IFERROR(INDEX(Tableau11[Nom Article],SMALL(IF(Tableau11[Numero Facture]=FACTURE!$E$11,ROW(Tableau11[Nom Article])-5),ROW()-21)),"")</f>
        <v/>
      </c>
      <c r="D32" s="1" t="str">
        <f t="array" ref="D32">IFERROR(INDEX(Tableau11[Quantite],SMALL(IF(Tableau11[Numero Facture]=FACTURE!$E$11,ROW(Tableau11[Quantite])-5),ROW()-21)),"")</f>
        <v/>
      </c>
      <c r="E32" s="1" t="str">
        <f t="array" ref="E32">IFERROR(INDEX(Tableau11[Prix Unitaire],SMALL(IF(Tableau11[Numero Facture]=FACTURE!$E$11,ROW(Tableau11[Prix Unitaire])-5),ROW()-21)),"")</f>
        <v/>
      </c>
      <c r="F32" s="36" t="str">
        <f t="shared" si="1"/>
        <v/>
      </c>
    </row>
    <row r="33" spans="2:6" x14ac:dyDescent="0.25">
      <c r="B33" s="1" t="str">
        <f t="shared" si="0"/>
        <v/>
      </c>
      <c r="C33" s="1" t="str">
        <f t="array" ref="C33">IFERROR(INDEX(Tableau11[Nom Article],SMALL(IF(Tableau11[Numero Facture]=FACTURE!$E$11,ROW(Tableau11[Nom Article])-5),ROW()-21)),"")</f>
        <v/>
      </c>
      <c r="D33" s="1" t="str">
        <f t="array" ref="D33">IFERROR(INDEX(Tableau11[Quantite],SMALL(IF(Tableau11[Numero Facture]=FACTURE!$E$11,ROW(Tableau11[Quantite])-5),ROW()-21)),"")</f>
        <v/>
      </c>
      <c r="E33" s="1" t="str">
        <f t="array" ref="E33">IFERROR(INDEX(Tableau11[Prix Unitaire],SMALL(IF(Tableau11[Numero Facture]=FACTURE!$E$11,ROW(Tableau11[Prix Unitaire])-5),ROW()-21)),"")</f>
        <v/>
      </c>
      <c r="F33" s="36" t="str">
        <f t="shared" si="1"/>
        <v/>
      </c>
    </row>
    <row r="34" spans="2:6" x14ac:dyDescent="0.25">
      <c r="B34" s="1" t="str">
        <f t="shared" si="0"/>
        <v/>
      </c>
      <c r="C34" s="1" t="str">
        <f t="array" ref="C34">IFERROR(INDEX(Tableau11[Nom Article],SMALL(IF(Tableau11[Numero Facture]=FACTURE!$E$11,ROW(Tableau11[Nom Article])-5),ROW()-21)),"")</f>
        <v/>
      </c>
      <c r="D34" s="1" t="str">
        <f t="array" ref="D34">IFERROR(INDEX(Tableau11[Quantite],SMALL(IF(Tableau11[Numero Facture]=FACTURE!$E$11,ROW(Tableau11[Quantite])-5),ROW()-21)),"")</f>
        <v/>
      </c>
      <c r="E34" s="1" t="str">
        <f t="array" ref="E34">IFERROR(INDEX(Tableau11[Prix Unitaire],SMALL(IF(Tableau11[Numero Facture]=FACTURE!$E$11,ROW(Tableau11[Prix Unitaire])-5),ROW()-21)),"")</f>
        <v/>
      </c>
      <c r="F34" s="36" t="str">
        <f t="shared" si="1"/>
        <v/>
      </c>
    </row>
    <row r="35" spans="2:6" x14ac:dyDescent="0.25">
      <c r="B35" s="1" t="str">
        <f t="shared" si="0"/>
        <v/>
      </c>
      <c r="C35" s="1" t="str">
        <f t="array" ref="C35">IFERROR(INDEX(Tableau11[Nom Article],SMALL(IF(Tableau11[Numero Facture]=FACTURE!$E$11,ROW(Tableau11[Nom Article])-5),ROW()-21)),"")</f>
        <v/>
      </c>
      <c r="D35" s="1" t="str">
        <f t="array" ref="D35">IFERROR(INDEX(Tableau11[Quantite],SMALL(IF(Tableau11[Numero Facture]=FACTURE!$E$11,ROW(Tableau11[Quantite])-5),ROW()-21)),"")</f>
        <v/>
      </c>
      <c r="E35" s="1" t="str">
        <f t="array" ref="E35">IFERROR(INDEX(Tableau11[Prix Unitaire],SMALL(IF(Tableau11[Numero Facture]=FACTURE!$E$11,ROW(Tableau11[Prix Unitaire])-5),ROW()-21)),"")</f>
        <v/>
      </c>
      <c r="F35" s="36" t="str">
        <f t="shared" si="1"/>
        <v/>
      </c>
    </row>
    <row r="36" spans="2:6" x14ac:dyDescent="0.25">
      <c r="B36" s="1" t="str">
        <f t="shared" si="0"/>
        <v/>
      </c>
      <c r="C36" s="1" t="str">
        <f t="array" ref="C36">IFERROR(INDEX(Tableau11[Nom Article],SMALL(IF(Tableau11[Numero Facture]=FACTURE!$E$11,ROW(Tableau11[Nom Article])-5),ROW()-21)),"")</f>
        <v/>
      </c>
      <c r="D36" s="1" t="str">
        <f t="array" ref="D36">IFERROR(INDEX(Tableau11[Quantite],SMALL(IF(Tableau11[Numero Facture]=FACTURE!$E$11,ROW(Tableau11[Quantite])-5),ROW()-21)),"")</f>
        <v/>
      </c>
      <c r="E36" s="1" t="str">
        <f t="array" ref="E36">IFERROR(INDEX(Tableau11[Prix Unitaire],SMALL(IF(Tableau11[Numero Facture]=FACTURE!$E$11,ROW(Tableau11[Prix Unitaire])-5),ROW()-21)),"")</f>
        <v/>
      </c>
      <c r="F36" s="36" t="str">
        <f t="shared" si="1"/>
        <v/>
      </c>
    </row>
    <row r="37" spans="2:6" x14ac:dyDescent="0.25">
      <c r="B37" s="1" t="str">
        <f t="shared" si="0"/>
        <v/>
      </c>
      <c r="C37" s="1" t="str">
        <f t="array" ref="C37">IFERROR(INDEX(Tableau11[Nom Article],SMALL(IF(Tableau11[Numero Facture]=FACTURE!$E$11,ROW(Tableau11[Nom Article])-5),ROW()-21)),"")</f>
        <v/>
      </c>
      <c r="D37" s="1" t="str">
        <f t="array" ref="D37">IFERROR(INDEX(Tableau11[Quantite],SMALL(IF(Tableau11[Numero Facture]=FACTURE!$E$11,ROW(Tableau11[Quantite])-5),ROW()-21)),"")</f>
        <v/>
      </c>
      <c r="E37" s="1" t="str">
        <f t="array" ref="E37">IFERROR(INDEX(Tableau11[Prix Unitaire],SMALL(IF(Tableau11[Numero Facture]=FACTURE!$E$11,ROW(Tableau11[Prix Unitaire])-5),ROW()-21)),"")</f>
        <v/>
      </c>
      <c r="F37" s="36" t="str">
        <f t="shared" si="1"/>
        <v/>
      </c>
    </row>
    <row r="38" spans="2:6" x14ac:dyDescent="0.25">
      <c r="B38" s="1" t="str">
        <f t="shared" si="0"/>
        <v/>
      </c>
      <c r="C38" s="1" t="str">
        <f t="array" ref="C38">IFERROR(INDEX(Tableau11[Nom Article],SMALL(IF(Tableau11[Numero Facture]=FACTURE!$E$11,ROW(Tableau11[Nom Article])-5),ROW()-21)),"")</f>
        <v/>
      </c>
      <c r="D38" s="1" t="str">
        <f t="array" ref="D38">IFERROR(INDEX(Tableau11[Quantite],SMALL(IF(Tableau11[Numero Facture]=FACTURE!$E$11,ROW(Tableau11[Quantite])-5),ROW()-21)),"")</f>
        <v/>
      </c>
      <c r="E38" s="1" t="str">
        <f t="array" ref="E38">IFERROR(INDEX(Tableau11[Prix Unitaire],SMALL(IF(Tableau11[Numero Facture]=FACTURE!$E$11,ROW(Tableau11[Prix Unitaire])-5),ROW()-21)),"")</f>
        <v/>
      </c>
      <c r="F38" s="36" t="str">
        <f t="shared" si="1"/>
        <v/>
      </c>
    </row>
    <row r="39" spans="2:6" x14ac:dyDescent="0.25">
      <c r="B39" s="1" t="str">
        <f t="shared" si="0"/>
        <v/>
      </c>
      <c r="C39" s="1" t="str">
        <f t="array" ref="C39">IFERROR(INDEX(Tableau11[Nom Article],SMALL(IF(Tableau11[Numero Facture]=FACTURE!$E$11,ROW(Tableau11[Nom Article])-5),ROW()-21)),"")</f>
        <v/>
      </c>
      <c r="D39" s="1" t="str">
        <f t="array" ref="D39">IFERROR(INDEX(Tableau11[Quantite],SMALL(IF(Tableau11[Numero Facture]=FACTURE!$E$11,ROW(Tableau11[Quantite])-5),ROW()-21)),"")</f>
        <v/>
      </c>
      <c r="E39" s="1" t="str">
        <f t="array" ref="E39">IFERROR(INDEX(Tableau11[Prix Unitaire],SMALL(IF(Tableau11[Numero Facture]=FACTURE!$E$11,ROW(Tableau11[Prix Unitaire])-5),ROW()-21)),"")</f>
        <v/>
      </c>
      <c r="F39" s="36" t="str">
        <f t="shared" si="1"/>
        <v/>
      </c>
    </row>
    <row r="40" spans="2:6" x14ac:dyDescent="0.25">
      <c r="B40" s="1" t="str">
        <f t="shared" si="0"/>
        <v/>
      </c>
      <c r="C40" s="1" t="str">
        <f t="array" ref="C40">IFERROR(INDEX(Tableau11[Nom Article],SMALL(IF(Tableau11[Numero Facture]=FACTURE!$E$11,ROW(Tableau11[Nom Article])-5),ROW()-21)),"")</f>
        <v/>
      </c>
      <c r="D40" s="1" t="str">
        <f t="array" ref="D40">IFERROR(INDEX(Tableau11[Quantite],SMALL(IF(Tableau11[Numero Facture]=FACTURE!$E$11,ROW(Tableau11[Quantite])-5),ROW()-21)),"")</f>
        <v/>
      </c>
      <c r="E40" s="1" t="str">
        <f t="array" ref="E40">IFERROR(INDEX(Tableau11[Prix Unitaire],SMALL(IF(Tableau11[Numero Facture]=FACTURE!$E$11,ROW(Tableau11[Prix Unitaire])-5),ROW()-21)),"")</f>
        <v/>
      </c>
      <c r="F40" s="36" t="str">
        <f t="shared" si="1"/>
        <v/>
      </c>
    </row>
    <row r="41" spans="2:6" x14ac:dyDescent="0.25">
      <c r="B41" s="1" t="str">
        <f t="shared" si="0"/>
        <v/>
      </c>
      <c r="C41" s="1" t="str">
        <f t="array" ref="C41">IFERROR(INDEX(Tableau11[Nom Article],SMALL(IF(Tableau11[Numero Facture]=FACTURE!$E$11,ROW(Tableau11[Nom Article])-5),ROW()-21)),"")</f>
        <v/>
      </c>
      <c r="D41" s="1" t="str">
        <f t="array" ref="D41">IFERROR(INDEX(Tableau11[Quantite],SMALL(IF(Tableau11[Numero Facture]=FACTURE!$E$11,ROW(Tableau11[Quantite])-5),ROW()-21)),"")</f>
        <v/>
      </c>
      <c r="E41" s="1" t="str">
        <f t="array" ref="E41">IFERROR(INDEX(Tableau11[Prix Unitaire],SMALL(IF(Tableau11[Numero Facture]=FACTURE!$E$11,ROW(Tableau11[Prix Unitaire])-5),ROW()-21)),"")</f>
        <v/>
      </c>
      <c r="F41" s="36" t="str">
        <f t="shared" si="1"/>
        <v/>
      </c>
    </row>
    <row r="42" spans="2:6" x14ac:dyDescent="0.25">
      <c r="B42" s="1" t="str">
        <f t="shared" si="0"/>
        <v/>
      </c>
      <c r="C42" s="1" t="str">
        <f t="array" ref="C42">IFERROR(INDEX(Tableau11[Nom Article],SMALL(IF(Tableau11[Numero Facture]=FACTURE!$E$11,ROW(Tableau11[Nom Article])-5),ROW()-21)),"")</f>
        <v/>
      </c>
      <c r="D42" s="1" t="str">
        <f t="array" ref="D42">IFERROR(INDEX(Tableau11[Quantite],SMALL(IF(Tableau11[Numero Facture]=FACTURE!$E$11,ROW(Tableau11[Quantite])-5),ROW()-21)),"")</f>
        <v/>
      </c>
      <c r="E42" s="1" t="str">
        <f t="array" ref="E42">IFERROR(INDEX(Tableau11[Prix Unitaire],SMALL(IF(Tableau11[Numero Facture]=FACTURE!$E$11,ROW(Tableau11[Prix Unitaire])-5),ROW()-21)),"")</f>
        <v/>
      </c>
      <c r="F42" s="36" t="str">
        <f t="shared" si="1"/>
        <v/>
      </c>
    </row>
    <row r="43" spans="2:6" x14ac:dyDescent="0.25">
      <c r="B43" s="1" t="str">
        <f t="shared" si="0"/>
        <v/>
      </c>
      <c r="C43" s="1" t="str">
        <f t="array" ref="C43">IFERROR(INDEX(Tableau11[Nom Article],SMALL(IF(Tableau11[Numero Facture]=FACTURE!$E$11,ROW(Tableau11[Nom Article])-5),ROW()-21)),"")</f>
        <v/>
      </c>
      <c r="D43" s="1" t="str">
        <f t="array" ref="D43">IFERROR(INDEX(Tableau11[Quantite],SMALL(IF(Tableau11[Numero Facture]=FACTURE!$E$11,ROW(Tableau11[Quantite])-5),ROW()-21)),"")</f>
        <v/>
      </c>
      <c r="E43" s="1" t="str">
        <f t="array" ref="E43">IFERROR(INDEX(Tableau11[Prix Unitaire],SMALL(IF(Tableau11[Numero Facture]=FACTURE!$E$11,ROW(Tableau11[Prix Unitaire])-5),ROW()-21)),"")</f>
        <v/>
      </c>
      <c r="F43" s="36" t="str">
        <f t="shared" si="1"/>
        <v/>
      </c>
    </row>
    <row r="44" spans="2:6" x14ac:dyDescent="0.25">
      <c r="B44" s="1" t="str">
        <f t="shared" si="0"/>
        <v/>
      </c>
      <c r="C44" s="1" t="str">
        <f t="array" ref="C44">IFERROR(INDEX(Tableau11[Nom Article],SMALL(IF(Tableau11[Numero Facture]=FACTURE!$E$11,ROW(Tableau11[Nom Article])-5),ROW()-21)),"")</f>
        <v/>
      </c>
      <c r="D44" s="1" t="str">
        <f t="array" ref="D44">IFERROR(INDEX(Tableau11[Quantite],SMALL(IF(Tableau11[Numero Facture]=FACTURE!$E$11,ROW(Tableau11[Quantite])-5),ROW()-21)),"")</f>
        <v/>
      </c>
      <c r="E44" s="1" t="str">
        <f t="array" ref="E44">IFERROR(INDEX(Tableau11[Prix Unitaire],SMALL(IF(Tableau11[Numero Facture]=FACTURE!$E$11,ROW(Tableau11[Prix Unitaire])-5),ROW()-21)),"")</f>
        <v/>
      </c>
      <c r="F44" s="36" t="str">
        <f t="shared" si="1"/>
        <v/>
      </c>
    </row>
    <row r="45" spans="2:6" x14ac:dyDescent="0.25">
      <c r="B45" s="1" t="str">
        <f t="shared" si="0"/>
        <v/>
      </c>
      <c r="C45" s="1" t="str">
        <f t="array" ref="C45">IFERROR(INDEX(Tableau11[Nom Article],SMALL(IF(Tableau11[Numero Facture]=FACTURE!$E$11,ROW(Tableau11[Nom Article])-5),ROW()-21)),"")</f>
        <v/>
      </c>
      <c r="D45" s="1" t="str">
        <f t="array" ref="D45">IFERROR(INDEX(Tableau11[Quantite],SMALL(IF(Tableau11[Numero Facture]=FACTURE!$E$11,ROW(Tableau11[Quantite])-5),ROW()-21)),"")</f>
        <v/>
      </c>
      <c r="E45" s="1" t="str">
        <f t="array" ref="E45">IFERROR(INDEX(Tableau11[Prix Unitaire],SMALL(IF(Tableau11[Numero Facture]=FACTURE!$E$11,ROW(Tableau11[Prix Unitaire])-5),ROW()-21)),"")</f>
        <v/>
      </c>
      <c r="F45" s="36" t="str">
        <f t="shared" si="1"/>
        <v/>
      </c>
    </row>
    <row r="46" spans="2:6" x14ac:dyDescent="0.25">
      <c r="B46" s="1" t="str">
        <f t="shared" si="0"/>
        <v/>
      </c>
      <c r="C46" s="1" t="str">
        <f t="array" ref="C46">IFERROR(INDEX(Tableau11[Nom Article],SMALL(IF(Tableau11[Numero Facture]=FACTURE!$E$11,ROW(Tableau11[Nom Article])-5),ROW()-21)),"")</f>
        <v/>
      </c>
      <c r="D46" s="1" t="str">
        <f t="array" ref="D46">IFERROR(INDEX(Tableau11[Quantite],SMALL(IF(Tableau11[Numero Facture]=FACTURE!$E$11,ROW(Tableau11[Quantite])-5),ROW()-21)),"")</f>
        <v/>
      </c>
      <c r="E46" s="1" t="str">
        <f t="array" ref="E46">IFERROR(INDEX(Tableau11[Prix Unitaire],SMALL(IF(Tableau11[Numero Facture]=FACTURE!$E$11,ROW(Tableau11[Prix Unitaire])-5),ROW()-21)),"")</f>
        <v/>
      </c>
      <c r="F46" s="36" t="str">
        <f t="shared" si="1"/>
        <v/>
      </c>
    </row>
    <row r="47" spans="2:6" x14ac:dyDescent="0.25">
      <c r="B47" s="1" t="str">
        <f t="shared" si="0"/>
        <v/>
      </c>
      <c r="C47" s="1" t="str">
        <f t="array" ref="C47">IFERROR(INDEX(Tableau11[Nom Article],SMALL(IF(Tableau11[Numero Facture]=FACTURE!$E$11,ROW(Tableau11[Nom Article])-5),ROW()-21)),"")</f>
        <v/>
      </c>
      <c r="D47" s="1" t="str">
        <f t="array" ref="D47">IFERROR(INDEX(Tableau11[Quantite],SMALL(IF(Tableau11[Numero Facture]=FACTURE!$E$11,ROW(Tableau11[Quantite])-5),ROW()-21)),"")</f>
        <v/>
      </c>
      <c r="E47" s="1" t="str">
        <f t="array" ref="E47">IFERROR(INDEX(Tableau11[Prix Unitaire],SMALL(IF(Tableau11[Numero Facture]=FACTURE!$E$11,ROW(Tableau11[Prix Unitaire])-5),ROW()-21)),"")</f>
        <v/>
      </c>
      <c r="F47" s="36" t="str">
        <f t="shared" si="1"/>
        <v/>
      </c>
    </row>
    <row r="49" spans="2:6" x14ac:dyDescent="0.25">
      <c r="B49" t="s">
        <v>431</v>
      </c>
    </row>
    <row r="50" spans="2:6" ht="15.75" thickBot="1" x14ac:dyDescent="0.3">
      <c r="B50" t="s">
        <v>431</v>
      </c>
    </row>
    <row r="51" spans="2:6" ht="15.75" thickBot="1" x14ac:dyDescent="0.3">
      <c r="E51" s="13" t="s">
        <v>149</v>
      </c>
      <c r="F51" s="14">
        <f>SUM(F21:F46)</f>
        <v>31000</v>
      </c>
    </row>
    <row r="52" spans="2:6" ht="15.75" thickBot="1" x14ac:dyDescent="0.3">
      <c r="E52" s="13" t="s">
        <v>150</v>
      </c>
      <c r="F52" s="14">
        <f>(F51*20)/100</f>
        <v>6200</v>
      </c>
    </row>
    <row r="53" spans="2:6" ht="15.75" thickBot="1" x14ac:dyDescent="0.3">
      <c r="E53" s="13" t="s">
        <v>151</v>
      </c>
      <c r="F53" s="14">
        <f>F51+F52</f>
        <v>37200</v>
      </c>
    </row>
    <row r="62" spans="2:6" ht="29.25" x14ac:dyDescent="0.5">
      <c r="C62" s="63" t="s">
        <v>198</v>
      </c>
    </row>
  </sheetData>
  <hyperlinks>
    <hyperlink ref="E16" r:id="rId1" xr:uid="{581C45ED-CC93-4317-9625-A54DCBC208DC}"/>
  </hyperlinks>
  <pageMargins left="0.70866141732283472" right="0.70866141732283472" top="0.74803149606299213" bottom="0.74803149606299213" header="0.31496062992125984" footer="0.31496062992125984"/>
  <pageSetup paperSize="6" scale="37" orientation="portrait" r:id="rId2"/>
  <ignoredErrors>
    <ignoredError sqref="F22" calculatedColumn="1"/>
  </ignoredErrors>
  <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87F3-8602-4DDE-B7D1-8227E7D1031A}">
  <sheetPr codeName="Feuil11"/>
  <dimension ref="A1:J810"/>
  <sheetViews>
    <sheetView showGridLines="0" tabSelected="1" zoomScale="93" workbookViewId="0">
      <selection activeCell="E18" sqref="E18"/>
    </sheetView>
  </sheetViews>
  <sheetFormatPr baseColWidth="10" defaultRowHeight="15" x14ac:dyDescent="0.25"/>
  <cols>
    <col min="2" max="2" width="25" customWidth="1"/>
    <col min="3" max="3" width="21.85546875" customWidth="1"/>
    <col min="4" max="4" width="24.7109375" customWidth="1"/>
    <col min="5" max="5" width="28.140625" customWidth="1"/>
    <col min="8" max="8" width="22.7109375" customWidth="1"/>
    <col min="9" max="9" width="24" customWidth="1"/>
    <col min="10" max="10" width="45.85546875" customWidth="1"/>
  </cols>
  <sheetData>
    <row r="1" spans="1:10" ht="78.75" customHeight="1" x14ac:dyDescent="0.25">
      <c r="A1" s="29"/>
      <c r="B1" s="29"/>
    </row>
    <row r="2" spans="1:10" x14ac:dyDescent="0.25">
      <c r="A2" s="29"/>
      <c r="B2" s="29"/>
    </row>
    <row r="3" spans="1:10" x14ac:dyDescent="0.25">
      <c r="A3" s="29"/>
      <c r="B3" s="29"/>
      <c r="C3" s="2" t="s">
        <v>357</v>
      </c>
      <c r="D3" s="3"/>
      <c r="E3" s="3"/>
      <c r="H3" s="2" t="s">
        <v>358</v>
      </c>
      <c r="I3" s="3"/>
      <c r="J3" s="3"/>
    </row>
    <row r="4" spans="1:10" x14ac:dyDescent="0.25">
      <c r="A4" s="29"/>
      <c r="B4" s="29"/>
    </row>
    <row r="5" spans="1:10" x14ac:dyDescent="0.25">
      <c r="A5" s="29"/>
      <c r="B5" s="29"/>
      <c r="C5" s="8" t="s">
        <v>329</v>
      </c>
      <c r="D5" s="8" t="s">
        <v>330</v>
      </c>
      <c r="E5" s="8" t="s">
        <v>331</v>
      </c>
      <c r="F5" s="1"/>
      <c r="H5" s="8" t="s">
        <v>359</v>
      </c>
      <c r="I5" s="23" t="s">
        <v>360</v>
      </c>
      <c r="J5" s="1"/>
    </row>
    <row r="6" spans="1:10" x14ac:dyDescent="0.25">
      <c r="A6" s="29"/>
      <c r="B6" s="29"/>
      <c r="C6" s="23" t="s">
        <v>30</v>
      </c>
      <c r="D6" s="23" t="s">
        <v>340</v>
      </c>
      <c r="E6" s="47">
        <v>45785</v>
      </c>
      <c r="F6" s="1"/>
      <c r="H6" s="45" t="s">
        <v>361</v>
      </c>
      <c r="I6" s="1" t="s">
        <v>362</v>
      </c>
      <c r="J6" s="1" t="s">
        <v>376</v>
      </c>
    </row>
    <row r="7" spans="1:10" x14ac:dyDescent="0.25">
      <c r="A7" s="29"/>
      <c r="B7" s="29"/>
      <c r="C7" s="23" t="s">
        <v>345</v>
      </c>
      <c r="D7" s="23" t="s">
        <v>341</v>
      </c>
      <c r="E7" s="48">
        <v>45785</v>
      </c>
      <c r="F7" s="1"/>
      <c r="H7" s="45" t="s">
        <v>377</v>
      </c>
      <c r="I7" s="1" t="s">
        <v>378</v>
      </c>
      <c r="J7" s="1"/>
    </row>
    <row r="8" spans="1:10" x14ac:dyDescent="0.25">
      <c r="A8" s="29"/>
      <c r="B8" s="29"/>
      <c r="C8" s="23" t="s">
        <v>346</v>
      </c>
      <c r="D8" s="23" t="s">
        <v>351</v>
      </c>
      <c r="E8" s="48">
        <v>45785</v>
      </c>
      <c r="F8" s="1"/>
      <c r="H8" s="45" t="s">
        <v>379</v>
      </c>
      <c r="I8" s="1" t="s">
        <v>380</v>
      </c>
      <c r="J8" s="1"/>
    </row>
    <row r="9" spans="1:10" x14ac:dyDescent="0.25">
      <c r="A9" s="29"/>
      <c r="B9" s="29"/>
      <c r="C9" s="23" t="s">
        <v>352</v>
      </c>
      <c r="D9" s="23" t="s">
        <v>356</v>
      </c>
      <c r="E9" s="48">
        <v>45785</v>
      </c>
      <c r="F9" s="1"/>
      <c r="H9" s="45" t="s">
        <v>405</v>
      </c>
      <c r="I9" s="1" t="s">
        <v>406</v>
      </c>
      <c r="J9" s="1"/>
    </row>
    <row r="10" spans="1:10" x14ac:dyDescent="0.25">
      <c r="A10" s="29"/>
      <c r="B10" s="29"/>
      <c r="C10" s="23" t="s">
        <v>366</v>
      </c>
      <c r="D10" s="23" t="s">
        <v>371</v>
      </c>
      <c r="E10" s="48">
        <v>45786</v>
      </c>
      <c r="F10" s="1"/>
      <c r="H10" s="45" t="s">
        <v>407</v>
      </c>
      <c r="I10" s="1" t="s">
        <v>408</v>
      </c>
      <c r="J10" s="1"/>
    </row>
    <row r="11" spans="1:10" x14ac:dyDescent="0.25">
      <c r="A11" s="29"/>
      <c r="B11" s="29"/>
      <c r="C11" s="23" t="s">
        <v>441</v>
      </c>
      <c r="D11" s="23" t="s">
        <v>444</v>
      </c>
      <c r="E11" s="48">
        <v>45799</v>
      </c>
      <c r="F11" s="1"/>
      <c r="H11" s="27"/>
    </row>
    <row r="12" spans="1:10" x14ac:dyDescent="0.25">
      <c r="A12" s="29"/>
      <c r="B12" s="29"/>
      <c r="C12" s="23" t="s">
        <v>464</v>
      </c>
      <c r="D12" s="23" t="s">
        <v>467</v>
      </c>
      <c r="E12" s="48">
        <v>45804</v>
      </c>
      <c r="F12" s="1"/>
    </row>
    <row r="13" spans="1:10" x14ac:dyDescent="0.25">
      <c r="A13" s="29"/>
      <c r="B13" s="29"/>
      <c r="C13" s="23" t="s">
        <v>469</v>
      </c>
      <c r="D13" s="23" t="s">
        <v>473</v>
      </c>
      <c r="E13" s="48">
        <v>45805</v>
      </c>
      <c r="F13" s="1"/>
    </row>
    <row r="14" spans="1:10" x14ac:dyDescent="0.25">
      <c r="A14" s="29"/>
      <c r="B14" s="29"/>
      <c r="C14" s="23" t="s">
        <v>484</v>
      </c>
      <c r="D14" s="23" t="s">
        <v>486</v>
      </c>
      <c r="E14" s="48">
        <v>45874</v>
      </c>
      <c r="F14" s="1"/>
    </row>
    <row r="15" spans="1:10" x14ac:dyDescent="0.25">
      <c r="A15" s="29"/>
      <c r="B15" s="29"/>
      <c r="C15" s="23"/>
      <c r="D15" s="23"/>
      <c r="E15" s="23"/>
      <c r="F15" s="1"/>
    </row>
    <row r="16" spans="1:10" x14ac:dyDescent="0.25">
      <c r="A16" s="29"/>
      <c r="B16" s="29"/>
      <c r="C16" s="23"/>
      <c r="D16" s="23"/>
      <c r="E16" s="23"/>
      <c r="F16" s="1"/>
    </row>
    <row r="17" spans="1:6" x14ac:dyDescent="0.25">
      <c r="A17" s="29"/>
      <c r="B17" s="29"/>
      <c r="C17" s="23"/>
      <c r="D17" s="23"/>
      <c r="E17" s="23"/>
      <c r="F17" s="1"/>
    </row>
    <row r="18" spans="1:6" x14ac:dyDescent="0.25">
      <c r="A18" s="29"/>
      <c r="B18" s="29"/>
      <c r="C18" s="23"/>
      <c r="D18" s="23"/>
      <c r="E18" s="23"/>
      <c r="F18" s="1"/>
    </row>
    <row r="19" spans="1:6" x14ac:dyDescent="0.25">
      <c r="A19" s="29"/>
      <c r="B19" s="29"/>
      <c r="C19" s="23"/>
      <c r="D19" s="23"/>
      <c r="E19" s="23"/>
      <c r="F19" s="1"/>
    </row>
    <row r="20" spans="1:6" x14ac:dyDescent="0.25">
      <c r="A20" s="29"/>
      <c r="B20" s="29"/>
      <c r="C20" s="23"/>
      <c r="D20" s="23"/>
      <c r="E20" s="23"/>
      <c r="F20" s="1"/>
    </row>
    <row r="21" spans="1:6" x14ac:dyDescent="0.25">
      <c r="A21" s="29"/>
      <c r="B21" s="29"/>
      <c r="C21" s="1"/>
      <c r="D21" s="46"/>
      <c r="E21" s="1"/>
      <c r="F21" s="1"/>
    </row>
    <row r="22" spans="1:6" x14ac:dyDescent="0.25">
      <c r="A22" s="29"/>
      <c r="B22" s="29"/>
    </row>
    <row r="23" spans="1:6" x14ac:dyDescent="0.25">
      <c r="A23" s="29"/>
      <c r="B23" s="29"/>
    </row>
    <row r="24" spans="1:6" x14ac:dyDescent="0.25">
      <c r="A24" s="29"/>
      <c r="B24" s="29"/>
    </row>
    <row r="25" spans="1:6" x14ac:dyDescent="0.25">
      <c r="A25" s="29"/>
      <c r="B25" s="29"/>
    </row>
    <row r="26" spans="1:6" x14ac:dyDescent="0.25">
      <c r="A26" s="29"/>
      <c r="B26" s="29"/>
    </row>
    <row r="27" spans="1:6" x14ac:dyDescent="0.25">
      <c r="A27" s="29"/>
      <c r="B27" s="29"/>
    </row>
    <row r="28" spans="1:6" x14ac:dyDescent="0.25">
      <c r="A28" s="29"/>
      <c r="B28" s="29"/>
    </row>
    <row r="29" spans="1:6" x14ac:dyDescent="0.25">
      <c r="A29" s="29"/>
      <c r="B29" s="29"/>
    </row>
    <row r="30" spans="1:6" x14ac:dyDescent="0.25">
      <c r="A30" s="29"/>
      <c r="B30" s="29"/>
    </row>
    <row r="31" spans="1:6" x14ac:dyDescent="0.25">
      <c r="A31" s="29"/>
      <c r="B31" s="29"/>
    </row>
    <row r="32" spans="1:6" x14ac:dyDescent="0.25">
      <c r="A32" s="29"/>
      <c r="B32" s="29"/>
    </row>
    <row r="33" spans="1:2" x14ac:dyDescent="0.25">
      <c r="A33" s="29"/>
      <c r="B33" s="29"/>
    </row>
    <row r="34" spans="1:2" x14ac:dyDescent="0.25">
      <c r="A34" s="29"/>
      <c r="B34" s="29"/>
    </row>
    <row r="35" spans="1:2" x14ac:dyDescent="0.25">
      <c r="A35" s="29"/>
      <c r="B35" s="29"/>
    </row>
    <row r="36" spans="1:2" x14ac:dyDescent="0.25">
      <c r="A36" s="29"/>
      <c r="B36" s="29"/>
    </row>
    <row r="37" spans="1:2" x14ac:dyDescent="0.25">
      <c r="A37" s="29"/>
      <c r="B37" s="29"/>
    </row>
    <row r="38" spans="1:2" x14ac:dyDescent="0.25">
      <c r="A38" s="29"/>
      <c r="B38" s="29"/>
    </row>
    <row r="39" spans="1:2" x14ac:dyDescent="0.25">
      <c r="A39" s="29"/>
      <c r="B39" s="29"/>
    </row>
    <row r="40" spans="1:2" x14ac:dyDescent="0.25">
      <c r="A40" s="29"/>
      <c r="B40" s="29"/>
    </row>
    <row r="41" spans="1:2" x14ac:dyDescent="0.25">
      <c r="A41" s="29"/>
      <c r="B41" s="29"/>
    </row>
    <row r="42" spans="1:2" x14ac:dyDescent="0.25">
      <c r="A42" s="29"/>
      <c r="B42" s="29"/>
    </row>
    <row r="43" spans="1:2" x14ac:dyDescent="0.25">
      <c r="A43" s="29"/>
      <c r="B43" s="29"/>
    </row>
    <row r="44" spans="1:2" x14ac:dyDescent="0.25">
      <c r="A44" s="29"/>
      <c r="B44" s="29"/>
    </row>
    <row r="45" spans="1:2" x14ac:dyDescent="0.25">
      <c r="A45" s="29"/>
      <c r="B45" s="29"/>
    </row>
    <row r="46" spans="1:2" x14ac:dyDescent="0.25">
      <c r="A46" s="29"/>
      <c r="B46" s="29"/>
    </row>
    <row r="47" spans="1:2" x14ac:dyDescent="0.25">
      <c r="A47" s="29"/>
      <c r="B47" s="29"/>
    </row>
    <row r="48" spans="1:2" x14ac:dyDescent="0.25">
      <c r="A48" s="29"/>
      <c r="B48" s="29"/>
    </row>
    <row r="49" spans="1:2" x14ac:dyDescent="0.25">
      <c r="A49" s="29"/>
      <c r="B49" s="29"/>
    </row>
    <row r="50" spans="1:2" x14ac:dyDescent="0.25">
      <c r="A50" s="29"/>
      <c r="B50" s="29"/>
    </row>
    <row r="51" spans="1:2" x14ac:dyDescent="0.25">
      <c r="A51" s="29"/>
      <c r="B51" s="29"/>
    </row>
    <row r="52" spans="1:2" x14ac:dyDescent="0.25">
      <c r="A52" s="29"/>
      <c r="B52" s="29"/>
    </row>
    <row r="53" spans="1:2" x14ac:dyDescent="0.25">
      <c r="A53" s="29"/>
      <c r="B53" s="29"/>
    </row>
    <row r="54" spans="1:2" x14ac:dyDescent="0.25">
      <c r="A54" s="29"/>
      <c r="B54" s="29"/>
    </row>
    <row r="55" spans="1:2" x14ac:dyDescent="0.25">
      <c r="A55" s="29"/>
      <c r="B55" s="29"/>
    </row>
    <row r="56" spans="1:2" x14ac:dyDescent="0.25">
      <c r="A56" s="29"/>
      <c r="B56" s="29"/>
    </row>
    <row r="57" spans="1:2" x14ac:dyDescent="0.25">
      <c r="A57" s="29"/>
      <c r="B57" s="29"/>
    </row>
    <row r="58" spans="1:2" x14ac:dyDescent="0.25">
      <c r="A58" s="29"/>
      <c r="B58" s="29"/>
    </row>
    <row r="59" spans="1:2" x14ac:dyDescent="0.25">
      <c r="A59" s="29"/>
      <c r="B59" s="29"/>
    </row>
    <row r="60" spans="1:2" x14ac:dyDescent="0.25">
      <c r="A60" s="29"/>
      <c r="B60" s="29"/>
    </row>
    <row r="61" spans="1:2" x14ac:dyDescent="0.25">
      <c r="A61" s="29"/>
      <c r="B61" s="29"/>
    </row>
    <row r="62" spans="1:2" x14ac:dyDescent="0.25">
      <c r="A62" s="29"/>
      <c r="B62" s="29"/>
    </row>
    <row r="63" spans="1:2" x14ac:dyDescent="0.25">
      <c r="A63" s="29"/>
      <c r="B63" s="29"/>
    </row>
    <row r="64" spans="1:2" x14ac:dyDescent="0.25">
      <c r="A64" s="29"/>
      <c r="B64" s="29"/>
    </row>
    <row r="65" spans="1:2" x14ac:dyDescent="0.25">
      <c r="A65" s="29"/>
      <c r="B65" s="29"/>
    </row>
    <row r="66" spans="1:2" x14ac:dyDescent="0.25">
      <c r="A66" s="29"/>
      <c r="B66" s="29"/>
    </row>
    <row r="67" spans="1:2" x14ac:dyDescent="0.25">
      <c r="A67" s="29"/>
      <c r="B67" s="29"/>
    </row>
    <row r="68" spans="1:2" x14ac:dyDescent="0.25">
      <c r="A68" s="29"/>
      <c r="B68" s="29"/>
    </row>
    <row r="69" spans="1:2" x14ac:dyDescent="0.25">
      <c r="A69" s="29"/>
      <c r="B69" s="29"/>
    </row>
    <row r="70" spans="1:2" x14ac:dyDescent="0.25">
      <c r="A70" s="29"/>
      <c r="B70" s="29"/>
    </row>
    <row r="71" spans="1:2" x14ac:dyDescent="0.25">
      <c r="A71" s="29"/>
      <c r="B71" s="29"/>
    </row>
    <row r="72" spans="1:2" x14ac:dyDescent="0.25">
      <c r="A72" s="29"/>
      <c r="B72" s="29"/>
    </row>
    <row r="73" spans="1:2" x14ac:dyDescent="0.25">
      <c r="A73" s="29"/>
      <c r="B73" s="29"/>
    </row>
    <row r="74" spans="1:2" x14ac:dyDescent="0.25">
      <c r="A74" s="29"/>
      <c r="B74" s="29"/>
    </row>
    <row r="75" spans="1:2" x14ac:dyDescent="0.25">
      <c r="A75" s="29"/>
      <c r="B75" s="29"/>
    </row>
    <row r="76" spans="1:2" x14ac:dyDescent="0.25">
      <c r="A76" s="29"/>
      <c r="B76" s="29"/>
    </row>
    <row r="77" spans="1:2" x14ac:dyDescent="0.25">
      <c r="A77" s="29"/>
      <c r="B77" s="29"/>
    </row>
    <row r="78" spans="1:2" x14ac:dyDescent="0.25">
      <c r="A78" s="29"/>
      <c r="B78" s="29"/>
    </row>
    <row r="79" spans="1:2" x14ac:dyDescent="0.25">
      <c r="A79" s="29"/>
      <c r="B79" s="29"/>
    </row>
    <row r="80" spans="1:2" x14ac:dyDescent="0.25">
      <c r="A80" s="29"/>
      <c r="B80" s="29"/>
    </row>
    <row r="81" spans="1:2" x14ac:dyDescent="0.25">
      <c r="A81" s="29"/>
      <c r="B81" s="29"/>
    </row>
    <row r="82" spans="1:2" x14ac:dyDescent="0.25">
      <c r="A82" s="29"/>
      <c r="B82" s="29"/>
    </row>
    <row r="83" spans="1:2" x14ac:dyDescent="0.25">
      <c r="A83" s="29"/>
      <c r="B83" s="29"/>
    </row>
    <row r="84" spans="1:2" x14ac:dyDescent="0.25">
      <c r="A84" s="29"/>
      <c r="B84" s="29"/>
    </row>
    <row r="85" spans="1:2" x14ac:dyDescent="0.25">
      <c r="A85" s="29"/>
      <c r="B85" s="29"/>
    </row>
    <row r="86" spans="1:2" x14ac:dyDescent="0.25">
      <c r="A86" s="29"/>
      <c r="B86" s="29"/>
    </row>
    <row r="87" spans="1:2" x14ac:dyDescent="0.25">
      <c r="A87" s="29"/>
      <c r="B87" s="29"/>
    </row>
    <row r="88" spans="1:2" x14ac:dyDescent="0.25">
      <c r="A88" s="29"/>
      <c r="B88" s="29"/>
    </row>
    <row r="89" spans="1:2" x14ac:dyDescent="0.25">
      <c r="A89" s="29"/>
      <c r="B89" s="29"/>
    </row>
    <row r="90" spans="1:2" x14ac:dyDescent="0.25">
      <c r="A90" s="29"/>
      <c r="B90" s="29"/>
    </row>
    <row r="91" spans="1:2" x14ac:dyDescent="0.25">
      <c r="A91" s="29"/>
      <c r="B91" s="29"/>
    </row>
    <row r="92" spans="1:2" x14ac:dyDescent="0.25">
      <c r="A92" s="29"/>
      <c r="B92" s="29"/>
    </row>
    <row r="93" spans="1:2" x14ac:dyDescent="0.25">
      <c r="A93" s="29"/>
      <c r="B93" s="29"/>
    </row>
    <row r="94" spans="1:2" x14ac:dyDescent="0.25">
      <c r="A94" s="29"/>
      <c r="B94" s="29"/>
    </row>
    <row r="95" spans="1:2" x14ac:dyDescent="0.25">
      <c r="A95" s="29"/>
      <c r="B95" s="29"/>
    </row>
    <row r="96" spans="1:2" x14ac:dyDescent="0.25">
      <c r="A96" s="29"/>
      <c r="B96" s="29"/>
    </row>
    <row r="97" spans="1:2" x14ac:dyDescent="0.25">
      <c r="A97" s="29"/>
      <c r="B97" s="29"/>
    </row>
    <row r="98" spans="1:2" x14ac:dyDescent="0.25">
      <c r="A98" s="29"/>
      <c r="B98" s="29"/>
    </row>
    <row r="99" spans="1:2" x14ac:dyDescent="0.25">
      <c r="A99" s="29"/>
      <c r="B99" s="29"/>
    </row>
    <row r="100" spans="1:2" x14ac:dyDescent="0.25">
      <c r="A100" s="29"/>
      <c r="B100" s="29"/>
    </row>
    <row r="101" spans="1:2" x14ac:dyDescent="0.25">
      <c r="A101" s="29"/>
      <c r="B101" s="29"/>
    </row>
    <row r="102" spans="1:2" x14ac:dyDescent="0.25">
      <c r="A102" s="29"/>
      <c r="B102" s="29"/>
    </row>
    <row r="103" spans="1:2" x14ac:dyDescent="0.25">
      <c r="A103" s="29"/>
      <c r="B103" s="29"/>
    </row>
    <row r="104" spans="1:2" x14ac:dyDescent="0.25">
      <c r="A104" s="29"/>
      <c r="B104" s="29"/>
    </row>
    <row r="105" spans="1:2" x14ac:dyDescent="0.25">
      <c r="A105" s="29"/>
      <c r="B105" s="29"/>
    </row>
    <row r="106" spans="1:2" x14ac:dyDescent="0.25">
      <c r="A106" s="29"/>
      <c r="B106" s="29"/>
    </row>
    <row r="107" spans="1:2" x14ac:dyDescent="0.25">
      <c r="A107" s="29"/>
      <c r="B107" s="29"/>
    </row>
    <row r="108" spans="1:2" x14ac:dyDescent="0.25">
      <c r="A108" s="29"/>
      <c r="B108" s="29"/>
    </row>
    <row r="109" spans="1:2" x14ac:dyDescent="0.25">
      <c r="A109" s="29"/>
      <c r="B109" s="29"/>
    </row>
    <row r="110" spans="1:2" x14ac:dyDescent="0.25">
      <c r="A110" s="29"/>
      <c r="B110" s="29"/>
    </row>
    <row r="111" spans="1:2" x14ac:dyDescent="0.25">
      <c r="A111" s="29"/>
      <c r="B111" s="29"/>
    </row>
    <row r="112" spans="1:2" x14ac:dyDescent="0.25">
      <c r="A112" s="29"/>
      <c r="B112" s="29"/>
    </row>
    <row r="113" spans="1:2" x14ac:dyDescent="0.25">
      <c r="A113" s="29"/>
      <c r="B113" s="29"/>
    </row>
    <row r="114" spans="1:2" x14ac:dyDescent="0.25">
      <c r="A114" s="29"/>
      <c r="B114" s="29"/>
    </row>
    <row r="115" spans="1:2" x14ac:dyDescent="0.25">
      <c r="A115" s="29"/>
      <c r="B115" s="29"/>
    </row>
    <row r="116" spans="1:2" x14ac:dyDescent="0.25">
      <c r="A116" s="29"/>
      <c r="B116" s="29"/>
    </row>
    <row r="117" spans="1:2" x14ac:dyDescent="0.25">
      <c r="A117" s="29"/>
      <c r="B117" s="29"/>
    </row>
    <row r="118" spans="1:2" x14ac:dyDescent="0.25">
      <c r="A118" s="29"/>
      <c r="B118" s="29"/>
    </row>
    <row r="119" spans="1:2" x14ac:dyDescent="0.25">
      <c r="A119" s="29"/>
      <c r="B119" s="29"/>
    </row>
    <row r="120" spans="1:2" x14ac:dyDescent="0.25">
      <c r="A120" s="29"/>
      <c r="B120" s="29"/>
    </row>
    <row r="121" spans="1:2" x14ac:dyDescent="0.25">
      <c r="A121" s="29"/>
      <c r="B121" s="29"/>
    </row>
    <row r="122" spans="1:2" x14ac:dyDescent="0.25">
      <c r="A122" s="29"/>
      <c r="B122" s="29"/>
    </row>
    <row r="123" spans="1:2" x14ac:dyDescent="0.25">
      <c r="A123" s="29"/>
      <c r="B123" s="29"/>
    </row>
    <row r="124" spans="1:2" x14ac:dyDescent="0.25">
      <c r="A124" s="29"/>
      <c r="B124" s="29"/>
    </row>
    <row r="125" spans="1:2" x14ac:dyDescent="0.25">
      <c r="A125" s="29"/>
      <c r="B125" s="29"/>
    </row>
    <row r="126" spans="1:2" x14ac:dyDescent="0.25">
      <c r="A126" s="29"/>
      <c r="B126" s="29"/>
    </row>
    <row r="127" spans="1:2" x14ac:dyDescent="0.25">
      <c r="A127" s="29"/>
      <c r="B127" s="29"/>
    </row>
    <row r="128" spans="1:2" x14ac:dyDescent="0.25">
      <c r="A128" s="29"/>
      <c r="B128" s="29"/>
    </row>
    <row r="129" spans="1:2" x14ac:dyDescent="0.25">
      <c r="A129" s="29"/>
      <c r="B129" s="29"/>
    </row>
    <row r="130" spans="1:2" x14ac:dyDescent="0.25">
      <c r="A130" s="29"/>
      <c r="B130" s="29"/>
    </row>
    <row r="131" spans="1:2" x14ac:dyDescent="0.25">
      <c r="A131" s="29"/>
      <c r="B131" s="29"/>
    </row>
    <row r="132" spans="1:2" x14ac:dyDescent="0.25">
      <c r="A132" s="29"/>
      <c r="B132" s="29"/>
    </row>
    <row r="133" spans="1:2" x14ac:dyDescent="0.25">
      <c r="A133" s="29"/>
      <c r="B133" s="29"/>
    </row>
    <row r="134" spans="1:2" x14ac:dyDescent="0.25">
      <c r="A134" s="29"/>
      <c r="B134" s="29"/>
    </row>
    <row r="135" spans="1:2" x14ac:dyDescent="0.25">
      <c r="A135" s="29"/>
      <c r="B135" s="29"/>
    </row>
    <row r="136" spans="1:2" x14ac:dyDescent="0.25">
      <c r="A136" s="29"/>
      <c r="B136" s="29"/>
    </row>
    <row r="137" spans="1:2" x14ac:dyDescent="0.25">
      <c r="A137" s="29"/>
      <c r="B137" s="29"/>
    </row>
    <row r="138" spans="1:2" x14ac:dyDescent="0.25">
      <c r="A138" s="29"/>
      <c r="B138" s="29"/>
    </row>
    <row r="139" spans="1:2" x14ac:dyDescent="0.25">
      <c r="A139" s="29"/>
      <c r="B139" s="29"/>
    </row>
    <row r="140" spans="1:2" x14ac:dyDescent="0.25">
      <c r="A140" s="29"/>
      <c r="B140" s="29"/>
    </row>
    <row r="141" spans="1:2" x14ac:dyDescent="0.25">
      <c r="A141" s="29"/>
      <c r="B141" s="29"/>
    </row>
    <row r="142" spans="1:2" x14ac:dyDescent="0.25">
      <c r="A142" s="29"/>
      <c r="B142" s="29"/>
    </row>
    <row r="143" spans="1:2" x14ac:dyDescent="0.25">
      <c r="A143" s="29"/>
      <c r="B143" s="29"/>
    </row>
    <row r="144" spans="1:2" x14ac:dyDescent="0.25">
      <c r="A144" s="29"/>
      <c r="B144" s="29"/>
    </row>
    <row r="145" spans="1:2" x14ac:dyDescent="0.25">
      <c r="A145" s="29"/>
      <c r="B145" s="29"/>
    </row>
    <row r="146" spans="1:2" x14ac:dyDescent="0.25">
      <c r="A146" s="29"/>
      <c r="B146" s="29"/>
    </row>
    <row r="147" spans="1:2" x14ac:dyDescent="0.25">
      <c r="A147" s="29"/>
      <c r="B147" s="29"/>
    </row>
    <row r="148" spans="1:2" x14ac:dyDescent="0.25">
      <c r="A148" s="29"/>
      <c r="B148" s="29"/>
    </row>
    <row r="149" spans="1:2" x14ac:dyDescent="0.25">
      <c r="A149" s="29"/>
      <c r="B149" s="29"/>
    </row>
    <row r="150" spans="1:2" x14ac:dyDescent="0.25">
      <c r="A150" s="29"/>
      <c r="B150" s="29"/>
    </row>
    <row r="151" spans="1:2" x14ac:dyDescent="0.25">
      <c r="A151" s="29"/>
      <c r="B151" s="29"/>
    </row>
    <row r="152" spans="1:2" x14ac:dyDescent="0.25">
      <c r="A152" s="29"/>
      <c r="B152" s="29"/>
    </row>
    <row r="153" spans="1:2" x14ac:dyDescent="0.25">
      <c r="A153" s="29"/>
      <c r="B153" s="29"/>
    </row>
    <row r="154" spans="1:2" x14ac:dyDescent="0.25">
      <c r="A154" s="29"/>
      <c r="B154" s="29"/>
    </row>
    <row r="155" spans="1:2" x14ac:dyDescent="0.25">
      <c r="A155" s="29"/>
      <c r="B155" s="29"/>
    </row>
    <row r="156" spans="1:2" x14ac:dyDescent="0.25">
      <c r="A156" s="29"/>
      <c r="B156" s="29"/>
    </row>
    <row r="157" spans="1:2" x14ac:dyDescent="0.25">
      <c r="A157" s="29"/>
      <c r="B157" s="29"/>
    </row>
    <row r="158" spans="1:2" x14ac:dyDescent="0.25">
      <c r="A158" s="29"/>
      <c r="B158" s="29"/>
    </row>
    <row r="159" spans="1:2" x14ac:dyDescent="0.25">
      <c r="A159" s="29"/>
      <c r="B159" s="29"/>
    </row>
    <row r="160" spans="1:2" x14ac:dyDescent="0.25">
      <c r="A160" s="29"/>
      <c r="B160" s="29"/>
    </row>
    <row r="161" spans="1:2" x14ac:dyDescent="0.25">
      <c r="A161" s="29"/>
      <c r="B161" s="29"/>
    </row>
    <row r="162" spans="1:2" x14ac:dyDescent="0.25">
      <c r="A162" s="29"/>
      <c r="B162" s="29"/>
    </row>
    <row r="163" spans="1:2" x14ac:dyDescent="0.25">
      <c r="A163" s="29"/>
      <c r="B163" s="29"/>
    </row>
    <row r="164" spans="1:2" x14ac:dyDescent="0.25">
      <c r="A164" s="29"/>
      <c r="B164" s="29"/>
    </row>
    <row r="165" spans="1:2" x14ac:dyDescent="0.25">
      <c r="A165" s="29"/>
      <c r="B165" s="29"/>
    </row>
    <row r="166" spans="1:2" x14ac:dyDescent="0.25">
      <c r="A166" s="29"/>
      <c r="B166" s="29"/>
    </row>
    <row r="167" spans="1:2" x14ac:dyDescent="0.25">
      <c r="A167" s="29"/>
      <c r="B167" s="29"/>
    </row>
    <row r="168" spans="1:2" x14ac:dyDescent="0.25">
      <c r="A168" s="29"/>
      <c r="B168" s="29"/>
    </row>
    <row r="169" spans="1:2" x14ac:dyDescent="0.25">
      <c r="A169" s="29"/>
      <c r="B169" s="29"/>
    </row>
    <row r="170" spans="1:2" x14ac:dyDescent="0.25">
      <c r="A170" s="29"/>
      <c r="B170" s="29"/>
    </row>
    <row r="171" spans="1:2" x14ac:dyDescent="0.25">
      <c r="A171" s="29"/>
      <c r="B171" s="29"/>
    </row>
    <row r="172" spans="1:2" x14ac:dyDescent="0.25">
      <c r="A172" s="29"/>
      <c r="B172" s="29"/>
    </row>
    <row r="173" spans="1:2" x14ac:dyDescent="0.25">
      <c r="A173" s="29"/>
      <c r="B173" s="29"/>
    </row>
    <row r="174" spans="1:2" x14ac:dyDescent="0.25">
      <c r="A174" s="29"/>
      <c r="B174" s="29"/>
    </row>
    <row r="175" spans="1:2" x14ac:dyDescent="0.25">
      <c r="A175" s="29"/>
      <c r="B175" s="29"/>
    </row>
    <row r="176" spans="1:2" x14ac:dyDescent="0.25">
      <c r="A176" s="29"/>
      <c r="B176" s="29"/>
    </row>
    <row r="177" spans="1:2" x14ac:dyDescent="0.25">
      <c r="A177" s="29"/>
      <c r="B177" s="29"/>
    </row>
    <row r="178" spans="1:2" x14ac:dyDescent="0.25">
      <c r="A178" s="29"/>
      <c r="B178" s="29"/>
    </row>
    <row r="179" spans="1:2" x14ac:dyDescent="0.25">
      <c r="A179" s="29"/>
      <c r="B179" s="29"/>
    </row>
    <row r="180" spans="1:2" x14ac:dyDescent="0.25">
      <c r="A180" s="29"/>
      <c r="B180" s="29"/>
    </row>
    <row r="181" spans="1:2" x14ac:dyDescent="0.25">
      <c r="A181" s="29"/>
      <c r="B181" s="29"/>
    </row>
    <row r="182" spans="1:2" x14ac:dyDescent="0.25">
      <c r="A182" s="29"/>
      <c r="B182" s="29"/>
    </row>
    <row r="183" spans="1:2" x14ac:dyDescent="0.25">
      <c r="A183" s="29"/>
      <c r="B183" s="29"/>
    </row>
    <row r="184" spans="1:2" x14ac:dyDescent="0.25">
      <c r="A184" s="29"/>
      <c r="B184" s="29"/>
    </row>
    <row r="185" spans="1:2" x14ac:dyDescent="0.25">
      <c r="A185" s="29"/>
      <c r="B185" s="29"/>
    </row>
    <row r="186" spans="1:2" x14ac:dyDescent="0.25">
      <c r="A186" s="29"/>
      <c r="B186" s="29"/>
    </row>
    <row r="187" spans="1:2" x14ac:dyDescent="0.25">
      <c r="A187" s="29"/>
      <c r="B187" s="29"/>
    </row>
    <row r="188" spans="1:2" x14ac:dyDescent="0.25">
      <c r="A188" s="29"/>
      <c r="B188" s="29"/>
    </row>
    <row r="189" spans="1:2" x14ac:dyDescent="0.25">
      <c r="A189" s="29"/>
      <c r="B189" s="29"/>
    </row>
    <row r="190" spans="1:2" x14ac:dyDescent="0.25">
      <c r="A190" s="29"/>
      <c r="B190" s="29"/>
    </row>
    <row r="191" spans="1:2" x14ac:dyDescent="0.25">
      <c r="A191" s="29"/>
      <c r="B191" s="29"/>
    </row>
    <row r="192" spans="1:2" x14ac:dyDescent="0.25">
      <c r="A192" s="29"/>
      <c r="B192" s="29"/>
    </row>
    <row r="193" spans="1:2" x14ac:dyDescent="0.25">
      <c r="A193" s="29"/>
      <c r="B193" s="29"/>
    </row>
    <row r="194" spans="1:2" x14ac:dyDescent="0.25">
      <c r="A194" s="29"/>
      <c r="B194" s="29"/>
    </row>
    <row r="195" spans="1:2" x14ac:dyDescent="0.25">
      <c r="A195" s="29"/>
      <c r="B195" s="29"/>
    </row>
    <row r="196" spans="1:2" x14ac:dyDescent="0.25">
      <c r="A196" s="29"/>
      <c r="B196" s="29"/>
    </row>
    <row r="197" spans="1:2" x14ac:dyDescent="0.25">
      <c r="A197" s="29"/>
      <c r="B197" s="29"/>
    </row>
    <row r="198" spans="1:2" x14ac:dyDescent="0.25">
      <c r="A198" s="29"/>
      <c r="B198" s="29"/>
    </row>
    <row r="199" spans="1:2" x14ac:dyDescent="0.25">
      <c r="A199" s="29"/>
      <c r="B199" s="29"/>
    </row>
    <row r="200" spans="1:2" x14ac:dyDescent="0.25">
      <c r="A200" s="29"/>
      <c r="B200" s="29"/>
    </row>
    <row r="201" spans="1:2" x14ac:dyDescent="0.25">
      <c r="A201" s="29"/>
      <c r="B201" s="29"/>
    </row>
    <row r="202" spans="1:2" x14ac:dyDescent="0.25">
      <c r="A202" s="29"/>
      <c r="B202" s="29"/>
    </row>
    <row r="203" spans="1:2" x14ac:dyDescent="0.25">
      <c r="A203" s="29"/>
      <c r="B203" s="29"/>
    </row>
    <row r="204" spans="1:2" x14ac:dyDescent="0.25">
      <c r="A204" s="29"/>
      <c r="B204" s="29"/>
    </row>
    <row r="205" spans="1:2" x14ac:dyDescent="0.25">
      <c r="A205" s="29"/>
      <c r="B205" s="29"/>
    </row>
    <row r="206" spans="1:2" x14ac:dyDescent="0.25">
      <c r="A206" s="29"/>
      <c r="B206" s="29"/>
    </row>
    <row r="207" spans="1:2" x14ac:dyDescent="0.25">
      <c r="A207" s="29"/>
      <c r="B207" s="29"/>
    </row>
    <row r="208" spans="1:2" x14ac:dyDescent="0.25">
      <c r="A208" s="29"/>
      <c r="B208" s="29"/>
    </row>
    <row r="209" spans="1:2" x14ac:dyDescent="0.25">
      <c r="A209" s="29"/>
      <c r="B209" s="29"/>
    </row>
    <row r="210" spans="1:2" x14ac:dyDescent="0.25">
      <c r="A210" s="29"/>
      <c r="B210" s="29"/>
    </row>
    <row r="211" spans="1:2" x14ac:dyDescent="0.25">
      <c r="A211" s="29"/>
      <c r="B211" s="29"/>
    </row>
    <row r="212" spans="1:2" x14ac:dyDescent="0.25">
      <c r="A212" s="29"/>
      <c r="B212" s="29"/>
    </row>
    <row r="213" spans="1:2" x14ac:dyDescent="0.25">
      <c r="A213" s="29"/>
      <c r="B213" s="29"/>
    </row>
    <row r="214" spans="1:2" x14ac:dyDescent="0.25">
      <c r="A214" s="29"/>
      <c r="B214" s="29"/>
    </row>
    <row r="215" spans="1:2" x14ac:dyDescent="0.25">
      <c r="A215" s="29"/>
      <c r="B215" s="29"/>
    </row>
    <row r="216" spans="1:2" x14ac:dyDescent="0.25">
      <c r="A216" s="29"/>
      <c r="B216" s="29"/>
    </row>
    <row r="217" spans="1:2" x14ac:dyDescent="0.25">
      <c r="A217" s="29"/>
      <c r="B217" s="29"/>
    </row>
    <row r="218" spans="1:2" x14ac:dyDescent="0.25">
      <c r="A218" s="29"/>
      <c r="B218" s="29"/>
    </row>
    <row r="219" spans="1:2" x14ac:dyDescent="0.25">
      <c r="A219" s="29"/>
      <c r="B219" s="29"/>
    </row>
    <row r="220" spans="1:2" x14ac:dyDescent="0.25">
      <c r="A220" s="29"/>
      <c r="B220" s="29"/>
    </row>
    <row r="221" spans="1:2" x14ac:dyDescent="0.25">
      <c r="A221" s="29"/>
      <c r="B221" s="29"/>
    </row>
    <row r="222" spans="1:2" x14ac:dyDescent="0.25">
      <c r="A222" s="29"/>
      <c r="B222" s="29"/>
    </row>
    <row r="223" spans="1:2" x14ac:dyDescent="0.25">
      <c r="A223" s="29"/>
      <c r="B223" s="29"/>
    </row>
    <row r="224" spans="1:2" x14ac:dyDescent="0.25">
      <c r="A224" s="29"/>
      <c r="B224" s="29"/>
    </row>
    <row r="225" spans="1:2" x14ac:dyDescent="0.25">
      <c r="A225" s="29"/>
      <c r="B225" s="29"/>
    </row>
    <row r="226" spans="1:2" x14ac:dyDescent="0.25">
      <c r="A226" s="29"/>
      <c r="B226" s="29"/>
    </row>
    <row r="227" spans="1:2" x14ac:dyDescent="0.25">
      <c r="A227" s="29"/>
      <c r="B227" s="29"/>
    </row>
    <row r="228" spans="1:2" x14ac:dyDescent="0.25">
      <c r="A228" s="29"/>
      <c r="B228" s="29"/>
    </row>
    <row r="229" spans="1:2" x14ac:dyDescent="0.25">
      <c r="A229" s="29"/>
      <c r="B229" s="29"/>
    </row>
    <row r="230" spans="1:2" x14ac:dyDescent="0.25">
      <c r="A230" s="29"/>
      <c r="B230" s="29"/>
    </row>
    <row r="231" spans="1:2" x14ac:dyDescent="0.25">
      <c r="A231" s="29"/>
      <c r="B231" s="29"/>
    </row>
    <row r="232" spans="1:2" x14ac:dyDescent="0.25">
      <c r="A232" s="29"/>
      <c r="B232" s="29"/>
    </row>
    <row r="233" spans="1:2" x14ac:dyDescent="0.25">
      <c r="A233" s="29"/>
      <c r="B233" s="29"/>
    </row>
    <row r="234" spans="1:2" x14ac:dyDescent="0.25">
      <c r="A234" s="29"/>
      <c r="B234" s="29"/>
    </row>
    <row r="235" spans="1:2" x14ac:dyDescent="0.25">
      <c r="A235" s="29"/>
      <c r="B235" s="29"/>
    </row>
    <row r="236" spans="1:2" x14ac:dyDescent="0.25">
      <c r="A236" s="29"/>
      <c r="B236" s="29"/>
    </row>
    <row r="237" spans="1:2" x14ac:dyDescent="0.25">
      <c r="A237" s="29"/>
      <c r="B237" s="29"/>
    </row>
    <row r="238" spans="1:2" x14ac:dyDescent="0.25">
      <c r="A238" s="29"/>
      <c r="B238" s="29"/>
    </row>
    <row r="239" spans="1:2" x14ac:dyDescent="0.25">
      <c r="A239" s="29"/>
      <c r="B239" s="29"/>
    </row>
    <row r="240" spans="1:2" x14ac:dyDescent="0.25">
      <c r="A240" s="29"/>
      <c r="B240" s="29"/>
    </row>
    <row r="241" spans="1:2" x14ac:dyDescent="0.25">
      <c r="A241" s="29"/>
      <c r="B241" s="29"/>
    </row>
    <row r="242" spans="1:2" x14ac:dyDescent="0.25">
      <c r="A242" s="29"/>
      <c r="B242" s="29"/>
    </row>
    <row r="243" spans="1:2" x14ac:dyDescent="0.25">
      <c r="A243" s="29"/>
      <c r="B243" s="29"/>
    </row>
    <row r="244" spans="1:2" x14ac:dyDescent="0.25">
      <c r="A244" s="29"/>
      <c r="B244" s="29"/>
    </row>
    <row r="245" spans="1:2" x14ac:dyDescent="0.25">
      <c r="A245" s="29"/>
      <c r="B245" s="29"/>
    </row>
    <row r="246" spans="1:2" x14ac:dyDescent="0.25">
      <c r="A246" s="29"/>
      <c r="B246" s="29"/>
    </row>
    <row r="247" spans="1:2" x14ac:dyDescent="0.25">
      <c r="A247" s="29"/>
      <c r="B247" s="29"/>
    </row>
    <row r="248" spans="1:2" x14ac:dyDescent="0.25">
      <c r="A248" s="29"/>
      <c r="B248" s="29"/>
    </row>
    <row r="249" spans="1:2" x14ac:dyDescent="0.25">
      <c r="A249" s="29"/>
      <c r="B249" s="29"/>
    </row>
    <row r="250" spans="1:2" x14ac:dyDescent="0.25">
      <c r="A250" s="29"/>
      <c r="B250" s="29"/>
    </row>
    <row r="251" spans="1:2" x14ac:dyDescent="0.25">
      <c r="A251" s="29"/>
      <c r="B251" s="29"/>
    </row>
    <row r="252" spans="1:2" x14ac:dyDescent="0.25">
      <c r="A252" s="29"/>
      <c r="B252" s="29"/>
    </row>
    <row r="253" spans="1:2" x14ac:dyDescent="0.25">
      <c r="A253" s="29"/>
      <c r="B253" s="29"/>
    </row>
    <row r="254" spans="1:2" x14ac:dyDescent="0.25">
      <c r="A254" s="29"/>
      <c r="B254" s="29"/>
    </row>
    <row r="255" spans="1:2" x14ac:dyDescent="0.25">
      <c r="A255" s="29"/>
      <c r="B255" s="29"/>
    </row>
    <row r="256" spans="1:2" x14ac:dyDescent="0.25">
      <c r="A256" s="29"/>
      <c r="B256" s="29"/>
    </row>
    <row r="257" spans="1:2" x14ac:dyDescent="0.25">
      <c r="A257" s="29"/>
      <c r="B257" s="29"/>
    </row>
    <row r="258" spans="1:2" x14ac:dyDescent="0.25">
      <c r="A258" s="29"/>
      <c r="B258" s="29"/>
    </row>
    <row r="259" spans="1:2" x14ac:dyDescent="0.25">
      <c r="A259" s="29"/>
      <c r="B259" s="29"/>
    </row>
    <row r="260" spans="1:2" x14ac:dyDescent="0.25">
      <c r="A260" s="29"/>
      <c r="B260" s="29"/>
    </row>
    <row r="261" spans="1:2" x14ac:dyDescent="0.25">
      <c r="A261" s="29"/>
      <c r="B261" s="29"/>
    </row>
    <row r="262" spans="1:2" x14ac:dyDescent="0.25">
      <c r="A262" s="29"/>
      <c r="B262" s="29"/>
    </row>
    <row r="263" spans="1:2" x14ac:dyDescent="0.25">
      <c r="A263" s="29"/>
      <c r="B263" s="29"/>
    </row>
    <row r="264" spans="1:2" x14ac:dyDescent="0.25">
      <c r="A264" s="29"/>
      <c r="B264" s="29"/>
    </row>
    <row r="265" spans="1:2" x14ac:dyDescent="0.25">
      <c r="A265" s="29"/>
      <c r="B265" s="29"/>
    </row>
    <row r="266" spans="1:2" x14ac:dyDescent="0.25">
      <c r="A266" s="29"/>
      <c r="B266" s="29"/>
    </row>
    <row r="267" spans="1:2" x14ac:dyDescent="0.25">
      <c r="A267" s="29"/>
      <c r="B267" s="29"/>
    </row>
    <row r="268" spans="1:2" x14ac:dyDescent="0.25">
      <c r="A268" s="29"/>
      <c r="B268" s="29"/>
    </row>
    <row r="269" spans="1:2" x14ac:dyDescent="0.25">
      <c r="A269" s="29"/>
      <c r="B269" s="29"/>
    </row>
    <row r="270" spans="1:2" x14ac:dyDescent="0.25">
      <c r="A270" s="29"/>
      <c r="B270" s="29"/>
    </row>
    <row r="271" spans="1:2" x14ac:dyDescent="0.25">
      <c r="A271" s="29"/>
      <c r="B271" s="29"/>
    </row>
    <row r="272" spans="1:2" x14ac:dyDescent="0.25">
      <c r="A272" s="29"/>
      <c r="B272" s="29"/>
    </row>
    <row r="273" spans="1:2" x14ac:dyDescent="0.25">
      <c r="A273" s="29"/>
      <c r="B273" s="29"/>
    </row>
    <row r="274" spans="1:2" x14ac:dyDescent="0.25">
      <c r="A274" s="29"/>
      <c r="B274" s="29"/>
    </row>
    <row r="275" spans="1:2" x14ac:dyDescent="0.25">
      <c r="A275" s="29"/>
      <c r="B275" s="29"/>
    </row>
    <row r="276" spans="1:2" x14ac:dyDescent="0.25">
      <c r="A276" s="29"/>
      <c r="B276" s="29"/>
    </row>
    <row r="277" spans="1:2" x14ac:dyDescent="0.25">
      <c r="A277" s="29"/>
      <c r="B277" s="29"/>
    </row>
    <row r="278" spans="1:2" x14ac:dyDescent="0.25">
      <c r="A278" s="29"/>
      <c r="B278" s="29"/>
    </row>
    <row r="279" spans="1:2" x14ac:dyDescent="0.25">
      <c r="A279" s="29"/>
      <c r="B279" s="29"/>
    </row>
    <row r="280" spans="1:2" x14ac:dyDescent="0.25">
      <c r="A280" s="29"/>
      <c r="B280" s="29"/>
    </row>
    <row r="281" spans="1:2" x14ac:dyDescent="0.25">
      <c r="A281" s="29"/>
      <c r="B281" s="29"/>
    </row>
    <row r="282" spans="1:2" x14ac:dyDescent="0.25">
      <c r="A282" s="29"/>
      <c r="B282" s="29"/>
    </row>
    <row r="283" spans="1:2" x14ac:dyDescent="0.25">
      <c r="A283" s="29"/>
      <c r="B283" s="29"/>
    </row>
    <row r="284" spans="1:2" x14ac:dyDescent="0.25">
      <c r="A284" s="29"/>
      <c r="B284" s="29"/>
    </row>
    <row r="285" spans="1:2" x14ac:dyDescent="0.25">
      <c r="A285" s="29"/>
      <c r="B285" s="29"/>
    </row>
    <row r="286" spans="1:2" x14ac:dyDescent="0.25">
      <c r="A286" s="29"/>
      <c r="B286" s="29"/>
    </row>
    <row r="287" spans="1:2" x14ac:dyDescent="0.25">
      <c r="A287" s="29"/>
      <c r="B287" s="29"/>
    </row>
    <row r="288" spans="1:2" x14ac:dyDescent="0.25">
      <c r="A288" s="29"/>
      <c r="B288" s="29"/>
    </row>
    <row r="289" spans="1:2" x14ac:dyDescent="0.25">
      <c r="A289" s="29"/>
      <c r="B289" s="29"/>
    </row>
    <row r="290" spans="1:2" x14ac:dyDescent="0.25">
      <c r="A290" s="29"/>
      <c r="B290" s="29"/>
    </row>
    <row r="291" spans="1:2" x14ac:dyDescent="0.25">
      <c r="A291" s="29"/>
      <c r="B291" s="29"/>
    </row>
    <row r="292" spans="1:2" x14ac:dyDescent="0.25">
      <c r="A292" s="29"/>
      <c r="B292" s="29"/>
    </row>
    <row r="293" spans="1:2" x14ac:dyDescent="0.25">
      <c r="A293" s="29"/>
      <c r="B293" s="29"/>
    </row>
    <row r="294" spans="1:2" x14ac:dyDescent="0.25">
      <c r="A294" s="29"/>
      <c r="B294" s="29"/>
    </row>
    <row r="295" spans="1:2" x14ac:dyDescent="0.25">
      <c r="A295" s="29"/>
      <c r="B295" s="29"/>
    </row>
    <row r="296" spans="1:2" x14ac:dyDescent="0.25">
      <c r="A296" s="29"/>
      <c r="B296" s="29"/>
    </row>
    <row r="297" spans="1:2" x14ac:dyDescent="0.25">
      <c r="A297" s="29"/>
      <c r="B297" s="29"/>
    </row>
    <row r="298" spans="1:2" x14ac:dyDescent="0.25">
      <c r="A298" s="29"/>
      <c r="B298" s="29"/>
    </row>
    <row r="299" spans="1:2" x14ac:dyDescent="0.25">
      <c r="A299" s="29"/>
      <c r="B299" s="29"/>
    </row>
    <row r="300" spans="1:2" x14ac:dyDescent="0.25">
      <c r="A300" s="29"/>
      <c r="B300" s="29"/>
    </row>
    <row r="301" spans="1:2" x14ac:dyDescent="0.25">
      <c r="A301" s="29"/>
      <c r="B301" s="29"/>
    </row>
    <row r="302" spans="1:2" x14ac:dyDescent="0.25">
      <c r="A302" s="29"/>
      <c r="B302" s="29"/>
    </row>
    <row r="303" spans="1:2" x14ac:dyDescent="0.25">
      <c r="A303" s="29"/>
      <c r="B303" s="29"/>
    </row>
    <row r="304" spans="1:2" x14ac:dyDescent="0.25">
      <c r="A304" s="29"/>
      <c r="B304" s="29"/>
    </row>
    <row r="305" spans="1:2" x14ac:dyDescent="0.25">
      <c r="A305" s="29"/>
      <c r="B305" s="29"/>
    </row>
    <row r="306" spans="1:2" x14ac:dyDescent="0.25">
      <c r="A306" s="29"/>
      <c r="B306" s="29"/>
    </row>
    <row r="307" spans="1:2" x14ac:dyDescent="0.25">
      <c r="A307" s="29"/>
      <c r="B307" s="29"/>
    </row>
    <row r="308" spans="1:2" x14ac:dyDescent="0.25">
      <c r="A308" s="29"/>
      <c r="B308" s="29"/>
    </row>
    <row r="309" spans="1:2" x14ac:dyDescent="0.25">
      <c r="A309" s="29"/>
      <c r="B309" s="29"/>
    </row>
    <row r="310" spans="1:2" x14ac:dyDescent="0.25">
      <c r="A310" s="29"/>
      <c r="B310" s="29"/>
    </row>
    <row r="311" spans="1:2" x14ac:dyDescent="0.25">
      <c r="A311" s="29"/>
      <c r="B311" s="29"/>
    </row>
    <row r="312" spans="1:2" x14ac:dyDescent="0.25">
      <c r="A312" s="29"/>
      <c r="B312" s="29"/>
    </row>
    <row r="313" spans="1:2" x14ac:dyDescent="0.25">
      <c r="A313" s="29"/>
      <c r="B313" s="29"/>
    </row>
    <row r="314" spans="1:2" x14ac:dyDescent="0.25">
      <c r="A314" s="29"/>
      <c r="B314" s="29"/>
    </row>
    <row r="315" spans="1:2" x14ac:dyDescent="0.25">
      <c r="A315" s="29"/>
      <c r="B315" s="29"/>
    </row>
    <row r="316" spans="1:2" x14ac:dyDescent="0.25">
      <c r="A316" s="29"/>
      <c r="B316" s="29"/>
    </row>
    <row r="317" spans="1:2" x14ac:dyDescent="0.25">
      <c r="A317" s="29"/>
      <c r="B317" s="29"/>
    </row>
    <row r="318" spans="1:2" x14ac:dyDescent="0.25">
      <c r="A318" s="29"/>
      <c r="B318" s="29"/>
    </row>
    <row r="319" spans="1:2" x14ac:dyDescent="0.25">
      <c r="A319" s="29"/>
      <c r="B319" s="29"/>
    </row>
    <row r="320" spans="1:2" x14ac:dyDescent="0.25">
      <c r="A320" s="29"/>
      <c r="B320" s="29"/>
    </row>
    <row r="321" spans="1:2" x14ac:dyDescent="0.25">
      <c r="A321" s="29"/>
      <c r="B321" s="29"/>
    </row>
    <row r="322" spans="1:2" x14ac:dyDescent="0.25">
      <c r="A322" s="29"/>
      <c r="B322" s="29"/>
    </row>
    <row r="323" spans="1:2" x14ac:dyDescent="0.25">
      <c r="A323" s="29"/>
      <c r="B323" s="29"/>
    </row>
    <row r="324" spans="1:2" x14ac:dyDescent="0.25">
      <c r="A324" s="29"/>
      <c r="B324" s="29"/>
    </row>
    <row r="325" spans="1:2" x14ac:dyDescent="0.25">
      <c r="A325" s="29"/>
      <c r="B325" s="29"/>
    </row>
    <row r="326" spans="1:2" x14ac:dyDescent="0.25">
      <c r="A326" s="29"/>
      <c r="B326" s="29"/>
    </row>
    <row r="327" spans="1:2" x14ac:dyDescent="0.25">
      <c r="A327" s="29"/>
      <c r="B327" s="29"/>
    </row>
    <row r="328" spans="1:2" x14ac:dyDescent="0.25">
      <c r="A328" s="29"/>
      <c r="B328" s="29"/>
    </row>
    <row r="329" spans="1:2" x14ac:dyDescent="0.25">
      <c r="A329" s="29"/>
      <c r="B329" s="29"/>
    </row>
    <row r="330" spans="1:2" x14ac:dyDescent="0.25">
      <c r="A330" s="29"/>
      <c r="B330" s="29"/>
    </row>
    <row r="331" spans="1:2" x14ac:dyDescent="0.25">
      <c r="A331" s="29"/>
      <c r="B331" s="29"/>
    </row>
    <row r="332" spans="1:2" x14ac:dyDescent="0.25">
      <c r="A332" s="29"/>
      <c r="B332" s="29"/>
    </row>
    <row r="333" spans="1:2" x14ac:dyDescent="0.25">
      <c r="A333" s="29"/>
      <c r="B333" s="29"/>
    </row>
    <row r="334" spans="1:2" x14ac:dyDescent="0.25">
      <c r="A334" s="29"/>
      <c r="B334" s="29"/>
    </row>
    <row r="335" spans="1:2" x14ac:dyDescent="0.25">
      <c r="A335" s="29"/>
      <c r="B335" s="29"/>
    </row>
    <row r="336" spans="1:2" x14ac:dyDescent="0.25">
      <c r="A336" s="29"/>
      <c r="B336" s="29"/>
    </row>
    <row r="337" spans="1:2" x14ac:dyDescent="0.25">
      <c r="A337" s="29"/>
      <c r="B337" s="29"/>
    </row>
    <row r="338" spans="1:2" x14ac:dyDescent="0.25">
      <c r="A338" s="29"/>
      <c r="B338" s="29"/>
    </row>
    <row r="339" spans="1:2" x14ac:dyDescent="0.25">
      <c r="A339" s="29"/>
      <c r="B339" s="29"/>
    </row>
    <row r="340" spans="1:2" x14ac:dyDescent="0.25">
      <c r="A340" s="29"/>
      <c r="B340" s="29"/>
    </row>
    <row r="341" spans="1:2" x14ac:dyDescent="0.25">
      <c r="A341" s="29"/>
      <c r="B341" s="29"/>
    </row>
    <row r="342" spans="1:2" x14ac:dyDescent="0.25">
      <c r="A342" s="29"/>
      <c r="B342" s="29"/>
    </row>
    <row r="343" spans="1:2" x14ac:dyDescent="0.25">
      <c r="A343" s="29"/>
      <c r="B343" s="29"/>
    </row>
    <row r="344" spans="1:2" x14ac:dyDescent="0.25">
      <c r="A344" s="29"/>
      <c r="B344" s="29"/>
    </row>
    <row r="345" spans="1:2" x14ac:dyDescent="0.25">
      <c r="A345" s="29"/>
      <c r="B345" s="29"/>
    </row>
    <row r="346" spans="1:2" x14ac:dyDescent="0.25">
      <c r="A346" s="29"/>
      <c r="B346" s="29"/>
    </row>
    <row r="347" spans="1:2" x14ac:dyDescent="0.25">
      <c r="A347" s="29"/>
      <c r="B347" s="29"/>
    </row>
    <row r="348" spans="1:2" x14ac:dyDescent="0.25">
      <c r="A348" s="29"/>
      <c r="B348" s="29"/>
    </row>
    <row r="349" spans="1:2" x14ac:dyDescent="0.25">
      <c r="A349" s="29"/>
      <c r="B349" s="29"/>
    </row>
    <row r="350" spans="1:2" x14ac:dyDescent="0.25">
      <c r="A350" s="29"/>
      <c r="B350" s="29"/>
    </row>
    <row r="351" spans="1:2" x14ac:dyDescent="0.25">
      <c r="A351" s="29"/>
      <c r="B351" s="29"/>
    </row>
    <row r="352" spans="1:2" x14ac:dyDescent="0.25">
      <c r="A352" s="29"/>
      <c r="B352" s="29"/>
    </row>
    <row r="353" spans="1:2" x14ac:dyDescent="0.25">
      <c r="A353" s="29"/>
      <c r="B353" s="29"/>
    </row>
    <row r="354" spans="1:2" x14ac:dyDescent="0.25">
      <c r="A354" s="29"/>
      <c r="B354" s="29"/>
    </row>
    <row r="355" spans="1:2" x14ac:dyDescent="0.25">
      <c r="A355" s="29"/>
      <c r="B355" s="29"/>
    </row>
    <row r="356" spans="1:2" x14ac:dyDescent="0.25">
      <c r="A356" s="29"/>
      <c r="B356" s="29"/>
    </row>
    <row r="357" spans="1:2" x14ac:dyDescent="0.25">
      <c r="A357" s="29"/>
      <c r="B357" s="29"/>
    </row>
    <row r="358" spans="1:2" x14ac:dyDescent="0.25">
      <c r="A358" s="29"/>
      <c r="B358" s="29"/>
    </row>
    <row r="359" spans="1:2" x14ac:dyDescent="0.25">
      <c r="A359" s="29"/>
      <c r="B359" s="29"/>
    </row>
    <row r="360" spans="1:2" x14ac:dyDescent="0.25">
      <c r="A360" s="29"/>
      <c r="B360" s="29"/>
    </row>
    <row r="361" spans="1:2" x14ac:dyDescent="0.25">
      <c r="A361" s="29"/>
      <c r="B361" s="29"/>
    </row>
    <row r="362" spans="1:2" x14ac:dyDescent="0.25">
      <c r="A362" s="29"/>
      <c r="B362" s="29"/>
    </row>
    <row r="363" spans="1:2" x14ac:dyDescent="0.25">
      <c r="A363" s="29"/>
      <c r="B363" s="29"/>
    </row>
    <row r="364" spans="1:2" x14ac:dyDescent="0.25">
      <c r="A364" s="29"/>
      <c r="B364" s="29"/>
    </row>
    <row r="365" spans="1:2" x14ac:dyDescent="0.25">
      <c r="A365" s="29"/>
      <c r="B365" s="29"/>
    </row>
    <row r="366" spans="1:2" x14ac:dyDescent="0.25">
      <c r="A366" s="29"/>
      <c r="B366" s="29"/>
    </row>
    <row r="367" spans="1:2" x14ac:dyDescent="0.25">
      <c r="A367" s="29"/>
      <c r="B367" s="29"/>
    </row>
    <row r="368" spans="1:2" x14ac:dyDescent="0.25">
      <c r="A368" s="29"/>
      <c r="B368" s="29"/>
    </row>
    <row r="369" spans="1:2" x14ac:dyDescent="0.25">
      <c r="A369" s="29"/>
      <c r="B369" s="29"/>
    </row>
    <row r="370" spans="1:2" x14ac:dyDescent="0.25">
      <c r="A370" s="29"/>
      <c r="B370" s="29"/>
    </row>
    <row r="371" spans="1:2" x14ac:dyDescent="0.25">
      <c r="A371" s="29"/>
      <c r="B371" s="29"/>
    </row>
    <row r="372" spans="1:2" x14ac:dyDescent="0.25">
      <c r="A372" s="29"/>
      <c r="B372" s="29"/>
    </row>
    <row r="373" spans="1:2" x14ac:dyDescent="0.25">
      <c r="A373" s="29"/>
      <c r="B373" s="29"/>
    </row>
    <row r="374" spans="1:2" x14ac:dyDescent="0.25">
      <c r="A374" s="29"/>
      <c r="B374" s="29"/>
    </row>
    <row r="375" spans="1:2" x14ac:dyDescent="0.25">
      <c r="A375" s="29"/>
      <c r="B375" s="29"/>
    </row>
    <row r="376" spans="1:2" x14ac:dyDescent="0.25">
      <c r="A376" s="29"/>
      <c r="B376" s="29"/>
    </row>
    <row r="377" spans="1:2" x14ac:dyDescent="0.25">
      <c r="A377" s="29"/>
      <c r="B377" s="29"/>
    </row>
    <row r="378" spans="1:2" x14ac:dyDescent="0.25">
      <c r="A378" s="29"/>
      <c r="B378" s="29"/>
    </row>
    <row r="379" spans="1:2" x14ac:dyDescent="0.25">
      <c r="A379" s="29"/>
      <c r="B379" s="29"/>
    </row>
    <row r="380" spans="1:2" x14ac:dyDescent="0.25">
      <c r="A380" s="29"/>
      <c r="B380" s="29"/>
    </row>
    <row r="381" spans="1:2" x14ac:dyDescent="0.25">
      <c r="A381" s="29"/>
      <c r="B381" s="29"/>
    </row>
    <row r="382" spans="1:2" x14ac:dyDescent="0.25">
      <c r="A382" s="29"/>
      <c r="B382" s="29"/>
    </row>
    <row r="383" spans="1:2" x14ac:dyDescent="0.25">
      <c r="A383" s="29"/>
      <c r="B383" s="29"/>
    </row>
    <row r="384" spans="1:2" x14ac:dyDescent="0.25">
      <c r="A384" s="29"/>
      <c r="B384" s="29"/>
    </row>
    <row r="385" spans="1:2" x14ac:dyDescent="0.25">
      <c r="A385" s="29"/>
      <c r="B385" s="29"/>
    </row>
    <row r="386" spans="1:2" x14ac:dyDescent="0.25">
      <c r="A386" s="29"/>
      <c r="B386" s="29"/>
    </row>
    <row r="387" spans="1:2" x14ac:dyDescent="0.25">
      <c r="A387" s="29"/>
      <c r="B387" s="29"/>
    </row>
    <row r="388" spans="1:2" x14ac:dyDescent="0.25">
      <c r="A388" s="29"/>
      <c r="B388" s="29"/>
    </row>
    <row r="389" spans="1:2" x14ac:dyDescent="0.25">
      <c r="A389" s="29"/>
      <c r="B389" s="29"/>
    </row>
    <row r="390" spans="1:2" x14ac:dyDescent="0.25">
      <c r="A390" s="29"/>
      <c r="B390" s="29"/>
    </row>
    <row r="391" spans="1:2" x14ac:dyDescent="0.25">
      <c r="A391" s="29"/>
      <c r="B391" s="29"/>
    </row>
    <row r="392" spans="1:2" x14ac:dyDescent="0.25">
      <c r="A392" s="29"/>
      <c r="B392" s="29"/>
    </row>
    <row r="393" spans="1:2" x14ac:dyDescent="0.25">
      <c r="A393" s="29"/>
      <c r="B393" s="29"/>
    </row>
    <row r="394" spans="1:2" x14ac:dyDescent="0.25">
      <c r="A394" s="29"/>
      <c r="B394" s="29"/>
    </row>
    <row r="395" spans="1:2" x14ac:dyDescent="0.25">
      <c r="A395" s="29"/>
      <c r="B395" s="29"/>
    </row>
    <row r="396" spans="1:2" x14ac:dyDescent="0.25">
      <c r="A396" s="29"/>
      <c r="B396" s="29"/>
    </row>
    <row r="397" spans="1:2" x14ac:dyDescent="0.25">
      <c r="A397" s="29"/>
      <c r="B397" s="29"/>
    </row>
    <row r="398" spans="1:2" x14ac:dyDescent="0.25">
      <c r="A398" s="29"/>
      <c r="B398" s="29"/>
    </row>
    <row r="399" spans="1:2" x14ac:dyDescent="0.25">
      <c r="A399" s="29"/>
      <c r="B399" s="29"/>
    </row>
    <row r="400" spans="1:2" x14ac:dyDescent="0.25">
      <c r="A400" s="29"/>
      <c r="B400" s="29"/>
    </row>
    <row r="401" spans="1:2" x14ac:dyDescent="0.25">
      <c r="A401" s="29"/>
      <c r="B401" s="29"/>
    </row>
    <row r="402" spans="1:2" x14ac:dyDescent="0.25">
      <c r="A402" s="29"/>
      <c r="B402" s="29"/>
    </row>
    <row r="403" spans="1:2" x14ac:dyDescent="0.25">
      <c r="A403" s="29"/>
      <c r="B403" s="29"/>
    </row>
    <row r="404" spans="1:2" x14ac:dyDescent="0.25">
      <c r="A404" s="29"/>
      <c r="B404" s="29"/>
    </row>
    <row r="405" spans="1:2" x14ac:dyDescent="0.25">
      <c r="A405" s="29"/>
      <c r="B405" s="29"/>
    </row>
    <row r="406" spans="1:2" x14ac:dyDescent="0.25">
      <c r="A406" s="29"/>
      <c r="B406" s="29"/>
    </row>
    <row r="407" spans="1:2" x14ac:dyDescent="0.25">
      <c r="A407" s="29"/>
      <c r="B407" s="29"/>
    </row>
    <row r="408" spans="1:2" x14ac:dyDescent="0.25">
      <c r="A408" s="29"/>
      <c r="B408" s="29"/>
    </row>
    <row r="409" spans="1:2" x14ac:dyDescent="0.25">
      <c r="A409" s="29"/>
      <c r="B409" s="29"/>
    </row>
    <row r="410" spans="1:2" x14ac:dyDescent="0.25">
      <c r="A410" s="29"/>
      <c r="B410" s="29"/>
    </row>
    <row r="411" spans="1:2" x14ac:dyDescent="0.25">
      <c r="A411" s="29"/>
      <c r="B411" s="29"/>
    </row>
    <row r="412" spans="1:2" x14ac:dyDescent="0.25">
      <c r="A412" s="29"/>
      <c r="B412" s="29"/>
    </row>
    <row r="413" spans="1:2" x14ac:dyDescent="0.25">
      <c r="A413" s="29"/>
      <c r="B413" s="29"/>
    </row>
    <row r="414" spans="1:2" x14ac:dyDescent="0.25">
      <c r="A414" s="29"/>
      <c r="B414" s="29"/>
    </row>
    <row r="415" spans="1:2" x14ac:dyDescent="0.25">
      <c r="A415" s="29"/>
      <c r="B415" s="29"/>
    </row>
    <row r="416" spans="1:2" x14ac:dyDescent="0.25">
      <c r="A416" s="29"/>
      <c r="B416" s="29"/>
    </row>
    <row r="417" spans="1:2" x14ac:dyDescent="0.25">
      <c r="A417" s="29"/>
      <c r="B417" s="29"/>
    </row>
    <row r="418" spans="1:2" x14ac:dyDescent="0.25">
      <c r="A418" s="29"/>
      <c r="B418" s="29"/>
    </row>
    <row r="419" spans="1:2" x14ac:dyDescent="0.25">
      <c r="A419" s="29"/>
      <c r="B419" s="29"/>
    </row>
    <row r="420" spans="1:2" x14ac:dyDescent="0.25">
      <c r="A420" s="29"/>
      <c r="B420" s="29"/>
    </row>
    <row r="421" spans="1:2" x14ac:dyDescent="0.25">
      <c r="A421" s="29"/>
      <c r="B421" s="29"/>
    </row>
    <row r="422" spans="1:2" x14ac:dyDescent="0.25">
      <c r="A422" s="29"/>
      <c r="B422" s="29"/>
    </row>
    <row r="423" spans="1:2" x14ac:dyDescent="0.25">
      <c r="A423" s="29"/>
      <c r="B423" s="29"/>
    </row>
    <row r="424" spans="1:2" x14ac:dyDescent="0.25">
      <c r="A424" s="29"/>
      <c r="B424" s="29"/>
    </row>
    <row r="425" spans="1:2" x14ac:dyDescent="0.25">
      <c r="A425" s="29"/>
      <c r="B425" s="29"/>
    </row>
    <row r="426" spans="1:2" x14ac:dyDescent="0.25">
      <c r="A426" s="29"/>
      <c r="B426" s="29"/>
    </row>
    <row r="427" spans="1:2" x14ac:dyDescent="0.25">
      <c r="A427" s="29"/>
      <c r="B427" s="29"/>
    </row>
    <row r="428" spans="1:2" x14ac:dyDescent="0.25">
      <c r="A428" s="29"/>
      <c r="B428" s="29"/>
    </row>
    <row r="429" spans="1:2" x14ac:dyDescent="0.25">
      <c r="A429" s="29"/>
      <c r="B429" s="29"/>
    </row>
    <row r="430" spans="1:2" x14ac:dyDescent="0.25">
      <c r="A430" s="29"/>
      <c r="B430" s="29"/>
    </row>
    <row r="431" spans="1:2" x14ac:dyDescent="0.25">
      <c r="A431" s="29"/>
      <c r="B431" s="29"/>
    </row>
    <row r="432" spans="1:2" x14ac:dyDescent="0.25">
      <c r="A432" s="29"/>
      <c r="B432" s="29"/>
    </row>
    <row r="433" spans="1:2" x14ac:dyDescent="0.25">
      <c r="A433" s="29"/>
      <c r="B433" s="29"/>
    </row>
    <row r="434" spans="1:2" x14ac:dyDescent="0.25">
      <c r="A434" s="29"/>
      <c r="B434" s="29"/>
    </row>
    <row r="435" spans="1:2" x14ac:dyDescent="0.25">
      <c r="A435" s="29"/>
      <c r="B435" s="29"/>
    </row>
    <row r="436" spans="1:2" x14ac:dyDescent="0.25">
      <c r="A436" s="29"/>
      <c r="B436" s="29"/>
    </row>
    <row r="437" spans="1:2" x14ac:dyDescent="0.25">
      <c r="A437" s="29"/>
      <c r="B437" s="29"/>
    </row>
    <row r="438" spans="1:2" x14ac:dyDescent="0.25">
      <c r="A438" s="29"/>
      <c r="B438" s="29"/>
    </row>
    <row r="439" spans="1:2" x14ac:dyDescent="0.25">
      <c r="A439" s="29"/>
      <c r="B439" s="29"/>
    </row>
    <row r="440" spans="1:2" x14ac:dyDescent="0.25">
      <c r="A440" s="29"/>
      <c r="B440" s="29"/>
    </row>
    <row r="441" spans="1:2" x14ac:dyDescent="0.25">
      <c r="A441" s="29"/>
      <c r="B441" s="29"/>
    </row>
    <row r="442" spans="1:2" x14ac:dyDescent="0.25">
      <c r="A442" s="29"/>
      <c r="B442" s="29"/>
    </row>
    <row r="443" spans="1:2" x14ac:dyDescent="0.25">
      <c r="A443" s="29"/>
      <c r="B443" s="29"/>
    </row>
    <row r="444" spans="1:2" x14ac:dyDescent="0.25">
      <c r="A444" s="29"/>
      <c r="B444" s="29"/>
    </row>
    <row r="445" spans="1:2" x14ac:dyDescent="0.25">
      <c r="A445" s="29"/>
      <c r="B445" s="29"/>
    </row>
    <row r="446" spans="1:2" x14ac:dyDescent="0.25">
      <c r="A446" s="29"/>
      <c r="B446" s="29"/>
    </row>
    <row r="447" spans="1:2" x14ac:dyDescent="0.25">
      <c r="A447" s="29"/>
      <c r="B447" s="29"/>
    </row>
    <row r="448" spans="1:2" x14ac:dyDescent="0.25">
      <c r="A448" s="29"/>
      <c r="B448" s="29"/>
    </row>
    <row r="449" spans="1:2" x14ac:dyDescent="0.25">
      <c r="A449" s="29"/>
      <c r="B449" s="29"/>
    </row>
    <row r="450" spans="1:2" x14ac:dyDescent="0.25">
      <c r="A450" s="29"/>
      <c r="B450" s="29"/>
    </row>
    <row r="451" spans="1:2" x14ac:dyDescent="0.25">
      <c r="A451" s="29"/>
      <c r="B451" s="29"/>
    </row>
    <row r="452" spans="1:2" x14ac:dyDescent="0.25">
      <c r="A452" s="29"/>
      <c r="B452" s="29"/>
    </row>
    <row r="453" spans="1:2" x14ac:dyDescent="0.25">
      <c r="A453" s="29"/>
      <c r="B453" s="29"/>
    </row>
    <row r="454" spans="1:2" x14ac:dyDescent="0.25">
      <c r="A454" s="29"/>
      <c r="B454" s="29"/>
    </row>
    <row r="455" spans="1:2" x14ac:dyDescent="0.25">
      <c r="A455" s="29"/>
      <c r="B455" s="29"/>
    </row>
    <row r="456" spans="1:2" x14ac:dyDescent="0.25">
      <c r="A456" s="29"/>
      <c r="B456" s="29"/>
    </row>
    <row r="457" spans="1:2" x14ac:dyDescent="0.25">
      <c r="A457" s="29"/>
      <c r="B457" s="29"/>
    </row>
    <row r="458" spans="1:2" x14ac:dyDescent="0.25">
      <c r="A458" s="29"/>
      <c r="B458" s="29"/>
    </row>
    <row r="459" spans="1:2" x14ac:dyDescent="0.25">
      <c r="A459" s="29"/>
      <c r="B459" s="29"/>
    </row>
    <row r="460" spans="1:2" x14ac:dyDescent="0.25">
      <c r="A460" s="29"/>
      <c r="B460" s="29"/>
    </row>
    <row r="461" spans="1:2" x14ac:dyDescent="0.25">
      <c r="A461" s="29"/>
      <c r="B461" s="29"/>
    </row>
    <row r="462" spans="1:2" x14ac:dyDescent="0.25">
      <c r="A462" s="29"/>
      <c r="B462" s="29"/>
    </row>
    <row r="463" spans="1:2" x14ac:dyDescent="0.25">
      <c r="A463" s="29"/>
      <c r="B463" s="29"/>
    </row>
    <row r="464" spans="1:2" x14ac:dyDescent="0.25">
      <c r="A464" s="29"/>
      <c r="B464" s="29"/>
    </row>
    <row r="465" spans="1:2" x14ac:dyDescent="0.25">
      <c r="A465" s="29"/>
      <c r="B465" s="29"/>
    </row>
    <row r="466" spans="1:2" x14ac:dyDescent="0.25">
      <c r="A466" s="29"/>
      <c r="B466" s="29"/>
    </row>
    <row r="467" spans="1:2" x14ac:dyDescent="0.25">
      <c r="A467" s="29"/>
      <c r="B467" s="29"/>
    </row>
    <row r="468" spans="1:2" x14ac:dyDescent="0.25">
      <c r="A468" s="29"/>
      <c r="B468" s="29"/>
    </row>
    <row r="469" spans="1:2" x14ac:dyDescent="0.25">
      <c r="A469" s="29"/>
      <c r="B469" s="29"/>
    </row>
    <row r="470" spans="1:2" x14ac:dyDescent="0.25">
      <c r="A470" s="29"/>
      <c r="B470" s="29"/>
    </row>
    <row r="471" spans="1:2" x14ac:dyDescent="0.25">
      <c r="A471" s="29"/>
      <c r="B471" s="29"/>
    </row>
    <row r="472" spans="1:2" x14ac:dyDescent="0.25">
      <c r="A472" s="29"/>
      <c r="B472" s="29"/>
    </row>
    <row r="473" spans="1:2" x14ac:dyDescent="0.25">
      <c r="A473" s="29"/>
      <c r="B473" s="29"/>
    </row>
    <row r="474" spans="1:2" x14ac:dyDescent="0.25">
      <c r="A474" s="29"/>
      <c r="B474" s="29"/>
    </row>
    <row r="475" spans="1:2" x14ac:dyDescent="0.25">
      <c r="A475" s="29"/>
      <c r="B475" s="29"/>
    </row>
    <row r="476" spans="1:2" x14ac:dyDescent="0.25">
      <c r="A476" s="29"/>
      <c r="B476" s="29"/>
    </row>
    <row r="477" spans="1:2" x14ac:dyDescent="0.25">
      <c r="A477" s="29"/>
      <c r="B477" s="29"/>
    </row>
    <row r="478" spans="1:2" x14ac:dyDescent="0.25">
      <c r="A478" s="29"/>
      <c r="B478" s="29"/>
    </row>
    <row r="479" spans="1:2" x14ac:dyDescent="0.25">
      <c r="A479" s="29"/>
      <c r="B479" s="29"/>
    </row>
    <row r="480" spans="1:2" x14ac:dyDescent="0.25">
      <c r="A480" s="29"/>
      <c r="B480" s="29"/>
    </row>
    <row r="481" spans="1:2" x14ac:dyDescent="0.25">
      <c r="A481" s="29"/>
      <c r="B481" s="29"/>
    </row>
    <row r="482" spans="1:2" x14ac:dyDescent="0.25">
      <c r="A482" s="29"/>
      <c r="B482" s="29"/>
    </row>
    <row r="483" spans="1:2" x14ac:dyDescent="0.25">
      <c r="A483" s="29"/>
      <c r="B483" s="29"/>
    </row>
    <row r="484" spans="1:2" x14ac:dyDescent="0.25">
      <c r="A484" s="29"/>
      <c r="B484" s="29"/>
    </row>
    <row r="485" spans="1:2" x14ac:dyDescent="0.25">
      <c r="A485" s="29"/>
      <c r="B485" s="29"/>
    </row>
    <row r="486" spans="1:2" x14ac:dyDescent="0.25">
      <c r="A486" s="29"/>
      <c r="B486" s="29"/>
    </row>
    <row r="487" spans="1:2" x14ac:dyDescent="0.25">
      <c r="A487" s="29"/>
      <c r="B487" s="29"/>
    </row>
    <row r="488" spans="1:2" x14ac:dyDescent="0.25">
      <c r="A488" s="29"/>
      <c r="B488" s="29"/>
    </row>
    <row r="489" spans="1:2" x14ac:dyDescent="0.25">
      <c r="A489" s="29"/>
      <c r="B489" s="29"/>
    </row>
    <row r="490" spans="1:2" x14ac:dyDescent="0.25">
      <c r="A490" s="29"/>
      <c r="B490" s="29"/>
    </row>
    <row r="491" spans="1:2" x14ac:dyDescent="0.25">
      <c r="A491" s="29"/>
      <c r="B491" s="29"/>
    </row>
    <row r="492" spans="1:2" x14ac:dyDescent="0.25">
      <c r="A492" s="29"/>
      <c r="B492" s="29"/>
    </row>
    <row r="493" spans="1:2" x14ac:dyDescent="0.25">
      <c r="A493" s="29"/>
      <c r="B493" s="29"/>
    </row>
    <row r="494" spans="1:2" x14ac:dyDescent="0.25">
      <c r="A494" s="29"/>
      <c r="B494" s="29"/>
    </row>
    <row r="495" spans="1:2" x14ac:dyDescent="0.25">
      <c r="A495" s="29"/>
      <c r="B495" s="29"/>
    </row>
    <row r="496" spans="1:2" x14ac:dyDescent="0.25">
      <c r="A496" s="29"/>
      <c r="B496" s="29"/>
    </row>
    <row r="497" spans="1:2" x14ac:dyDescent="0.25">
      <c r="A497" s="29"/>
      <c r="B497" s="29"/>
    </row>
    <row r="498" spans="1:2" x14ac:dyDescent="0.25">
      <c r="A498" s="29"/>
      <c r="B498" s="29"/>
    </row>
    <row r="499" spans="1:2" x14ac:dyDescent="0.25">
      <c r="A499" s="29"/>
      <c r="B499" s="29"/>
    </row>
    <row r="500" spans="1:2" x14ac:dyDescent="0.25">
      <c r="A500" s="29"/>
      <c r="B500" s="29"/>
    </row>
    <row r="501" spans="1:2" x14ac:dyDescent="0.25">
      <c r="A501" s="29"/>
      <c r="B501" s="29"/>
    </row>
    <row r="502" spans="1:2" x14ac:dyDescent="0.25">
      <c r="A502" s="29"/>
      <c r="B502" s="29"/>
    </row>
    <row r="503" spans="1:2" x14ac:dyDescent="0.25">
      <c r="A503" s="29"/>
      <c r="B503" s="29"/>
    </row>
    <row r="504" spans="1:2" x14ac:dyDescent="0.25">
      <c r="A504" s="29"/>
      <c r="B504" s="29"/>
    </row>
    <row r="505" spans="1:2" x14ac:dyDescent="0.25">
      <c r="A505" s="29"/>
      <c r="B505" s="29"/>
    </row>
    <row r="506" spans="1:2" x14ac:dyDescent="0.25">
      <c r="A506" s="29"/>
      <c r="B506" s="29"/>
    </row>
    <row r="507" spans="1:2" x14ac:dyDescent="0.25">
      <c r="A507" s="29"/>
      <c r="B507" s="29"/>
    </row>
    <row r="508" spans="1:2" x14ac:dyDescent="0.25">
      <c r="A508" s="29"/>
      <c r="B508" s="29"/>
    </row>
    <row r="509" spans="1:2" x14ac:dyDescent="0.25">
      <c r="A509" s="29"/>
      <c r="B509" s="29"/>
    </row>
    <row r="510" spans="1:2" x14ac:dyDescent="0.25">
      <c r="A510" s="29"/>
      <c r="B510" s="29"/>
    </row>
    <row r="511" spans="1:2" x14ac:dyDescent="0.25">
      <c r="A511" s="29"/>
      <c r="B511" s="29"/>
    </row>
    <row r="512" spans="1:2" x14ac:dyDescent="0.25">
      <c r="A512" s="29"/>
      <c r="B512" s="29"/>
    </row>
    <row r="513" spans="1:2" x14ac:dyDescent="0.25">
      <c r="A513" s="29"/>
      <c r="B513" s="29"/>
    </row>
    <row r="514" spans="1:2" x14ac:dyDescent="0.25">
      <c r="A514" s="29"/>
      <c r="B514" s="29"/>
    </row>
    <row r="515" spans="1:2" x14ac:dyDescent="0.25">
      <c r="A515" s="29"/>
      <c r="B515" s="29"/>
    </row>
    <row r="516" spans="1:2" x14ac:dyDescent="0.25">
      <c r="A516" s="29"/>
      <c r="B516" s="29"/>
    </row>
    <row r="517" spans="1:2" x14ac:dyDescent="0.25">
      <c r="A517" s="29"/>
      <c r="B517" s="29"/>
    </row>
    <row r="518" spans="1:2" x14ac:dyDescent="0.25">
      <c r="A518" s="29"/>
      <c r="B518" s="29"/>
    </row>
    <row r="519" spans="1:2" x14ac:dyDescent="0.25">
      <c r="A519" s="29"/>
      <c r="B519" s="29"/>
    </row>
    <row r="520" spans="1:2" x14ac:dyDescent="0.25">
      <c r="A520" s="29"/>
      <c r="B520" s="29"/>
    </row>
    <row r="521" spans="1:2" x14ac:dyDescent="0.25">
      <c r="A521" s="29"/>
      <c r="B521" s="29"/>
    </row>
    <row r="522" spans="1:2" x14ac:dyDescent="0.25">
      <c r="A522" s="29"/>
      <c r="B522" s="29"/>
    </row>
    <row r="523" spans="1:2" x14ac:dyDescent="0.25">
      <c r="A523" s="29"/>
      <c r="B523" s="29"/>
    </row>
    <row r="524" spans="1:2" x14ac:dyDescent="0.25">
      <c r="A524" s="29"/>
      <c r="B524" s="29"/>
    </row>
    <row r="525" spans="1:2" x14ac:dyDescent="0.25">
      <c r="A525" s="29"/>
      <c r="B525" s="29"/>
    </row>
    <row r="526" spans="1:2" x14ac:dyDescent="0.25">
      <c r="A526" s="29"/>
      <c r="B526" s="29"/>
    </row>
    <row r="527" spans="1:2" x14ac:dyDescent="0.25">
      <c r="A527" s="29"/>
      <c r="B527" s="29"/>
    </row>
    <row r="528" spans="1:2" x14ac:dyDescent="0.25">
      <c r="A528" s="29"/>
      <c r="B528" s="29"/>
    </row>
    <row r="529" spans="1:2" x14ac:dyDescent="0.25">
      <c r="A529" s="29"/>
      <c r="B529" s="29"/>
    </row>
    <row r="530" spans="1:2" x14ac:dyDescent="0.25">
      <c r="A530" s="29"/>
      <c r="B530" s="29"/>
    </row>
    <row r="531" spans="1:2" x14ac:dyDescent="0.25">
      <c r="A531" s="29"/>
      <c r="B531" s="29"/>
    </row>
    <row r="532" spans="1:2" x14ac:dyDescent="0.25">
      <c r="A532" s="29"/>
      <c r="B532" s="29"/>
    </row>
    <row r="533" spans="1:2" x14ac:dyDescent="0.25">
      <c r="A533" s="29"/>
      <c r="B533" s="29"/>
    </row>
    <row r="534" spans="1:2" x14ac:dyDescent="0.25">
      <c r="A534" s="29"/>
      <c r="B534" s="29"/>
    </row>
    <row r="535" spans="1:2" x14ac:dyDescent="0.25">
      <c r="A535" s="29"/>
      <c r="B535" s="29"/>
    </row>
    <row r="536" spans="1:2" x14ac:dyDescent="0.25">
      <c r="A536" s="29"/>
      <c r="B536" s="29"/>
    </row>
    <row r="537" spans="1:2" x14ac:dyDescent="0.25">
      <c r="A537" s="29"/>
      <c r="B537" s="29"/>
    </row>
    <row r="538" spans="1:2" x14ac:dyDescent="0.25">
      <c r="A538" s="29"/>
      <c r="B538" s="29"/>
    </row>
    <row r="539" spans="1:2" x14ac:dyDescent="0.25">
      <c r="A539" s="29"/>
      <c r="B539" s="29"/>
    </row>
    <row r="540" spans="1:2" x14ac:dyDescent="0.25">
      <c r="A540" s="29"/>
      <c r="B540" s="29"/>
    </row>
    <row r="541" spans="1:2" x14ac:dyDescent="0.25">
      <c r="A541" s="29"/>
      <c r="B541" s="29"/>
    </row>
    <row r="542" spans="1:2" x14ac:dyDescent="0.25">
      <c r="A542" s="29"/>
      <c r="B542" s="29"/>
    </row>
    <row r="543" spans="1:2" x14ac:dyDescent="0.25">
      <c r="A543" s="29"/>
      <c r="B543" s="29"/>
    </row>
    <row r="544" spans="1:2" x14ac:dyDescent="0.25">
      <c r="A544" s="29"/>
      <c r="B544" s="29"/>
    </row>
    <row r="545" spans="1:2" x14ac:dyDescent="0.25">
      <c r="A545" s="29"/>
      <c r="B545" s="29"/>
    </row>
    <row r="546" spans="1:2" x14ac:dyDescent="0.25">
      <c r="A546" s="29"/>
      <c r="B546" s="29"/>
    </row>
    <row r="547" spans="1:2" x14ac:dyDescent="0.25">
      <c r="A547" s="29"/>
      <c r="B547" s="29"/>
    </row>
    <row r="548" spans="1:2" x14ac:dyDescent="0.25">
      <c r="A548" s="29"/>
      <c r="B548" s="29"/>
    </row>
    <row r="549" spans="1:2" x14ac:dyDescent="0.25">
      <c r="A549" s="29"/>
      <c r="B549" s="29"/>
    </row>
    <row r="550" spans="1:2" x14ac:dyDescent="0.25">
      <c r="A550" s="29"/>
      <c r="B550" s="29"/>
    </row>
    <row r="551" spans="1:2" x14ac:dyDescent="0.25">
      <c r="A551" s="29"/>
      <c r="B551" s="29"/>
    </row>
    <row r="552" spans="1:2" x14ac:dyDescent="0.25">
      <c r="A552" s="29"/>
      <c r="B552" s="29"/>
    </row>
    <row r="553" spans="1:2" x14ac:dyDescent="0.25">
      <c r="A553" s="29"/>
      <c r="B553" s="29"/>
    </row>
    <row r="554" spans="1:2" x14ac:dyDescent="0.25">
      <c r="A554" s="29"/>
      <c r="B554" s="29"/>
    </row>
    <row r="555" spans="1:2" x14ac:dyDescent="0.25">
      <c r="A555" s="29"/>
      <c r="B555" s="29"/>
    </row>
    <row r="556" spans="1:2" x14ac:dyDescent="0.25">
      <c r="A556" s="29"/>
      <c r="B556" s="29"/>
    </row>
    <row r="557" spans="1:2" x14ac:dyDescent="0.25">
      <c r="A557" s="29"/>
      <c r="B557" s="29"/>
    </row>
    <row r="558" spans="1:2" x14ac:dyDescent="0.25">
      <c r="A558" s="29"/>
      <c r="B558" s="29"/>
    </row>
    <row r="559" spans="1:2" x14ac:dyDescent="0.25">
      <c r="A559" s="29"/>
      <c r="B559" s="29"/>
    </row>
    <row r="560" spans="1:2" x14ac:dyDescent="0.25">
      <c r="A560" s="29"/>
      <c r="B560" s="29"/>
    </row>
    <row r="561" spans="1:2" x14ac:dyDescent="0.25">
      <c r="A561" s="29"/>
      <c r="B561" s="29"/>
    </row>
    <row r="562" spans="1:2" x14ac:dyDescent="0.25">
      <c r="A562" s="29"/>
      <c r="B562" s="29"/>
    </row>
    <row r="563" spans="1:2" x14ac:dyDescent="0.25">
      <c r="A563" s="29"/>
      <c r="B563" s="29"/>
    </row>
    <row r="564" spans="1:2" x14ac:dyDescent="0.25">
      <c r="A564" s="29"/>
      <c r="B564" s="29"/>
    </row>
    <row r="565" spans="1:2" x14ac:dyDescent="0.25">
      <c r="A565" s="29"/>
      <c r="B565" s="29"/>
    </row>
    <row r="566" spans="1:2" x14ac:dyDescent="0.25">
      <c r="A566" s="29"/>
      <c r="B566" s="29"/>
    </row>
    <row r="567" spans="1:2" x14ac:dyDescent="0.25">
      <c r="A567" s="29"/>
      <c r="B567" s="29"/>
    </row>
    <row r="568" spans="1:2" x14ac:dyDescent="0.25">
      <c r="A568" s="29"/>
      <c r="B568" s="29"/>
    </row>
    <row r="569" spans="1:2" x14ac:dyDescent="0.25">
      <c r="A569" s="29"/>
      <c r="B569" s="29"/>
    </row>
    <row r="570" spans="1:2" x14ac:dyDescent="0.25">
      <c r="A570" s="29"/>
      <c r="B570" s="29"/>
    </row>
    <row r="571" spans="1:2" x14ac:dyDescent="0.25">
      <c r="A571" s="29"/>
      <c r="B571" s="29"/>
    </row>
    <row r="572" spans="1:2" x14ac:dyDescent="0.25">
      <c r="A572" s="29"/>
      <c r="B572" s="29"/>
    </row>
    <row r="573" spans="1:2" x14ac:dyDescent="0.25">
      <c r="A573" s="29"/>
      <c r="B573" s="29"/>
    </row>
    <row r="574" spans="1:2" x14ac:dyDescent="0.25">
      <c r="A574" s="29"/>
      <c r="B574" s="29"/>
    </row>
    <row r="575" spans="1:2" x14ac:dyDescent="0.25">
      <c r="A575" s="29"/>
      <c r="B575" s="29"/>
    </row>
    <row r="576" spans="1:2" x14ac:dyDescent="0.25">
      <c r="A576" s="29"/>
      <c r="B576" s="29"/>
    </row>
    <row r="577" spans="1:2" x14ac:dyDescent="0.25">
      <c r="A577" s="29"/>
      <c r="B577" s="29"/>
    </row>
    <row r="578" spans="1:2" x14ac:dyDescent="0.25">
      <c r="A578" s="29"/>
      <c r="B578" s="29"/>
    </row>
    <row r="579" spans="1:2" x14ac:dyDescent="0.25">
      <c r="A579" s="29"/>
      <c r="B579" s="29"/>
    </row>
    <row r="580" spans="1:2" x14ac:dyDescent="0.25">
      <c r="A580" s="29"/>
      <c r="B580" s="29"/>
    </row>
    <row r="581" spans="1:2" x14ac:dyDescent="0.25">
      <c r="A581" s="29"/>
      <c r="B581" s="29"/>
    </row>
    <row r="582" spans="1:2" x14ac:dyDescent="0.25">
      <c r="A582" s="29"/>
      <c r="B582" s="29"/>
    </row>
    <row r="583" spans="1:2" x14ac:dyDescent="0.25">
      <c r="A583" s="29"/>
      <c r="B583" s="29"/>
    </row>
    <row r="584" spans="1:2" x14ac:dyDescent="0.25">
      <c r="A584" s="29"/>
      <c r="B584" s="29"/>
    </row>
    <row r="585" spans="1:2" x14ac:dyDescent="0.25">
      <c r="A585" s="29"/>
      <c r="B585" s="29"/>
    </row>
    <row r="586" spans="1:2" x14ac:dyDescent="0.25">
      <c r="A586" s="29"/>
      <c r="B586" s="29"/>
    </row>
    <row r="587" spans="1:2" x14ac:dyDescent="0.25">
      <c r="A587" s="29"/>
      <c r="B587" s="29"/>
    </row>
    <row r="588" spans="1:2" x14ac:dyDescent="0.25">
      <c r="A588" s="29"/>
      <c r="B588" s="29"/>
    </row>
    <row r="589" spans="1:2" x14ac:dyDescent="0.25">
      <c r="A589" s="29"/>
      <c r="B589" s="29"/>
    </row>
    <row r="590" spans="1:2" x14ac:dyDescent="0.25">
      <c r="A590" s="29"/>
      <c r="B590" s="29"/>
    </row>
    <row r="591" spans="1:2" x14ac:dyDescent="0.25">
      <c r="A591" s="29"/>
      <c r="B591" s="29"/>
    </row>
    <row r="592" spans="1:2" x14ac:dyDescent="0.25">
      <c r="A592" s="29"/>
      <c r="B592" s="29"/>
    </row>
    <row r="593" spans="1:2" x14ac:dyDescent="0.25">
      <c r="A593" s="29"/>
      <c r="B593" s="29"/>
    </row>
    <row r="594" spans="1:2" x14ac:dyDescent="0.25">
      <c r="A594" s="29"/>
      <c r="B594" s="29"/>
    </row>
    <row r="595" spans="1:2" x14ac:dyDescent="0.25">
      <c r="A595" s="29"/>
      <c r="B595" s="29"/>
    </row>
    <row r="596" spans="1:2" x14ac:dyDescent="0.25">
      <c r="A596" s="29"/>
      <c r="B596" s="29"/>
    </row>
    <row r="597" spans="1:2" x14ac:dyDescent="0.25">
      <c r="A597" s="29"/>
      <c r="B597" s="29"/>
    </row>
    <row r="598" spans="1:2" x14ac:dyDescent="0.25">
      <c r="A598" s="29"/>
      <c r="B598" s="29"/>
    </row>
    <row r="599" spans="1:2" x14ac:dyDescent="0.25">
      <c r="A599" s="29"/>
      <c r="B599" s="29"/>
    </row>
    <row r="600" spans="1:2" x14ac:dyDescent="0.25">
      <c r="A600" s="29"/>
      <c r="B600" s="29"/>
    </row>
    <row r="601" spans="1:2" x14ac:dyDescent="0.25">
      <c r="A601" s="29"/>
      <c r="B601" s="29"/>
    </row>
    <row r="602" spans="1:2" x14ac:dyDescent="0.25">
      <c r="A602" s="29"/>
      <c r="B602" s="29"/>
    </row>
    <row r="603" spans="1:2" x14ac:dyDescent="0.25">
      <c r="A603" s="29"/>
      <c r="B603" s="29"/>
    </row>
    <row r="604" spans="1:2" x14ac:dyDescent="0.25">
      <c r="A604" s="29"/>
      <c r="B604" s="29"/>
    </row>
    <row r="605" spans="1:2" x14ac:dyDescent="0.25">
      <c r="A605" s="29"/>
      <c r="B605" s="29"/>
    </row>
    <row r="606" spans="1:2" x14ac:dyDescent="0.25">
      <c r="A606" s="29"/>
      <c r="B606" s="29"/>
    </row>
    <row r="607" spans="1:2" x14ac:dyDescent="0.25">
      <c r="A607" s="29"/>
      <c r="B607" s="29"/>
    </row>
    <row r="608" spans="1:2" x14ac:dyDescent="0.25">
      <c r="A608" s="29"/>
      <c r="B608" s="29"/>
    </row>
    <row r="609" spans="1:2" x14ac:dyDescent="0.25">
      <c r="A609" s="29"/>
      <c r="B609" s="29"/>
    </row>
    <row r="610" spans="1:2" x14ac:dyDescent="0.25">
      <c r="A610" s="29"/>
      <c r="B610" s="29"/>
    </row>
    <row r="611" spans="1:2" x14ac:dyDescent="0.25">
      <c r="A611" s="29"/>
      <c r="B611" s="29"/>
    </row>
    <row r="612" spans="1:2" x14ac:dyDescent="0.25">
      <c r="A612" s="29"/>
      <c r="B612" s="29"/>
    </row>
    <row r="613" spans="1:2" x14ac:dyDescent="0.25">
      <c r="A613" s="29"/>
      <c r="B613" s="29"/>
    </row>
    <row r="614" spans="1:2" x14ac:dyDescent="0.25">
      <c r="A614" s="29"/>
      <c r="B614" s="29"/>
    </row>
    <row r="615" spans="1:2" x14ac:dyDescent="0.25">
      <c r="A615" s="29"/>
      <c r="B615" s="29"/>
    </row>
    <row r="616" spans="1:2" x14ac:dyDescent="0.25">
      <c r="A616" s="29"/>
      <c r="B616" s="29"/>
    </row>
    <row r="617" spans="1:2" x14ac:dyDescent="0.25">
      <c r="A617" s="29"/>
      <c r="B617" s="29"/>
    </row>
    <row r="618" spans="1:2" x14ac:dyDescent="0.25">
      <c r="A618" s="29"/>
      <c r="B618" s="29"/>
    </row>
    <row r="619" spans="1:2" x14ac:dyDescent="0.25">
      <c r="A619" s="29"/>
      <c r="B619" s="29"/>
    </row>
    <row r="620" spans="1:2" x14ac:dyDescent="0.25">
      <c r="A620" s="29"/>
      <c r="B620" s="29"/>
    </row>
    <row r="621" spans="1:2" x14ac:dyDescent="0.25">
      <c r="A621" s="29"/>
      <c r="B621" s="29"/>
    </row>
    <row r="622" spans="1:2" x14ac:dyDescent="0.25">
      <c r="A622" s="29"/>
      <c r="B622" s="29"/>
    </row>
    <row r="623" spans="1:2" x14ac:dyDescent="0.25">
      <c r="A623" s="29"/>
      <c r="B623" s="29"/>
    </row>
    <row r="624" spans="1:2" x14ac:dyDescent="0.25">
      <c r="A624" s="29"/>
      <c r="B624" s="29"/>
    </row>
    <row r="625" spans="1:2" x14ac:dyDescent="0.25">
      <c r="A625" s="29"/>
      <c r="B625" s="29"/>
    </row>
    <row r="626" spans="1:2" x14ac:dyDescent="0.25">
      <c r="A626" s="29"/>
      <c r="B626" s="29"/>
    </row>
    <row r="627" spans="1:2" x14ac:dyDescent="0.25">
      <c r="A627" s="29"/>
      <c r="B627" s="29"/>
    </row>
    <row r="628" spans="1:2" x14ac:dyDescent="0.25">
      <c r="A628" s="29"/>
      <c r="B628" s="29"/>
    </row>
    <row r="629" spans="1:2" x14ac:dyDescent="0.25">
      <c r="A629" s="29"/>
      <c r="B629" s="29"/>
    </row>
    <row r="630" spans="1:2" x14ac:dyDescent="0.25">
      <c r="A630" s="29"/>
      <c r="B630" s="29"/>
    </row>
    <row r="631" spans="1:2" x14ac:dyDescent="0.25">
      <c r="A631" s="29"/>
      <c r="B631" s="29"/>
    </row>
    <row r="632" spans="1:2" x14ac:dyDescent="0.25">
      <c r="A632" s="29"/>
      <c r="B632" s="29"/>
    </row>
    <row r="633" spans="1:2" x14ac:dyDescent="0.25">
      <c r="A633" s="29"/>
      <c r="B633" s="29"/>
    </row>
    <row r="634" spans="1:2" x14ac:dyDescent="0.25">
      <c r="A634" s="29"/>
      <c r="B634" s="29"/>
    </row>
    <row r="635" spans="1:2" x14ac:dyDescent="0.25">
      <c r="A635" s="29"/>
      <c r="B635" s="29"/>
    </row>
    <row r="636" spans="1:2" x14ac:dyDescent="0.25">
      <c r="A636" s="29"/>
      <c r="B636" s="29"/>
    </row>
    <row r="637" spans="1:2" x14ac:dyDescent="0.25">
      <c r="A637" s="29"/>
      <c r="B637" s="29"/>
    </row>
    <row r="638" spans="1:2" x14ac:dyDescent="0.25">
      <c r="A638" s="29"/>
      <c r="B638" s="29"/>
    </row>
    <row r="639" spans="1:2" x14ac:dyDescent="0.25">
      <c r="A639" s="29"/>
      <c r="B639" s="29"/>
    </row>
    <row r="640" spans="1:2" x14ac:dyDescent="0.25">
      <c r="A640" s="29"/>
      <c r="B640" s="29"/>
    </row>
    <row r="641" spans="1:2" x14ac:dyDescent="0.25">
      <c r="A641" s="29"/>
      <c r="B641" s="29"/>
    </row>
    <row r="642" spans="1:2" x14ac:dyDescent="0.25">
      <c r="A642" s="29"/>
      <c r="B642" s="29"/>
    </row>
    <row r="643" spans="1:2" x14ac:dyDescent="0.25">
      <c r="A643" s="29"/>
      <c r="B643" s="29"/>
    </row>
    <row r="644" spans="1:2" x14ac:dyDescent="0.25">
      <c r="A644" s="29"/>
      <c r="B644" s="29"/>
    </row>
    <row r="645" spans="1:2" x14ac:dyDescent="0.25">
      <c r="A645" s="29"/>
      <c r="B645" s="29"/>
    </row>
    <row r="646" spans="1:2" x14ac:dyDescent="0.25">
      <c r="A646" s="29"/>
      <c r="B646" s="29"/>
    </row>
    <row r="647" spans="1:2" x14ac:dyDescent="0.25">
      <c r="A647" s="29"/>
      <c r="B647" s="29"/>
    </row>
    <row r="648" spans="1:2" x14ac:dyDescent="0.25">
      <c r="A648" s="29"/>
      <c r="B648" s="29"/>
    </row>
    <row r="649" spans="1:2" x14ac:dyDescent="0.25">
      <c r="A649" s="29"/>
      <c r="B649" s="29"/>
    </row>
    <row r="650" spans="1:2" x14ac:dyDescent="0.25">
      <c r="A650" s="29"/>
      <c r="B650" s="29"/>
    </row>
    <row r="651" spans="1:2" x14ac:dyDescent="0.25">
      <c r="A651" s="29"/>
      <c r="B651" s="29"/>
    </row>
    <row r="652" spans="1:2" x14ac:dyDescent="0.25">
      <c r="A652" s="29"/>
      <c r="B652" s="29"/>
    </row>
    <row r="653" spans="1:2" x14ac:dyDescent="0.25">
      <c r="A653" s="29"/>
      <c r="B653" s="29"/>
    </row>
    <row r="654" spans="1:2" x14ac:dyDescent="0.25">
      <c r="A654" s="29"/>
      <c r="B654" s="29"/>
    </row>
    <row r="655" spans="1:2" x14ac:dyDescent="0.25">
      <c r="A655" s="29"/>
      <c r="B655" s="29"/>
    </row>
    <row r="656" spans="1:2" x14ac:dyDescent="0.25">
      <c r="A656" s="29"/>
      <c r="B656" s="29"/>
    </row>
    <row r="657" spans="1:2" x14ac:dyDescent="0.25">
      <c r="A657" s="29"/>
      <c r="B657" s="29"/>
    </row>
    <row r="658" spans="1:2" x14ac:dyDescent="0.25">
      <c r="A658" s="29"/>
      <c r="B658" s="29"/>
    </row>
    <row r="659" spans="1:2" x14ac:dyDescent="0.25">
      <c r="A659" s="29"/>
      <c r="B659" s="29"/>
    </row>
    <row r="660" spans="1:2" x14ac:dyDescent="0.25">
      <c r="A660" s="29"/>
      <c r="B660" s="29"/>
    </row>
    <row r="661" spans="1:2" x14ac:dyDescent="0.25">
      <c r="A661" s="29"/>
      <c r="B661" s="29"/>
    </row>
    <row r="662" spans="1:2" x14ac:dyDescent="0.25">
      <c r="A662" s="29"/>
      <c r="B662" s="29"/>
    </row>
    <row r="663" spans="1:2" x14ac:dyDescent="0.25">
      <c r="A663" s="29"/>
      <c r="B663" s="29"/>
    </row>
    <row r="664" spans="1:2" x14ac:dyDescent="0.25">
      <c r="A664" s="29"/>
      <c r="B664" s="29"/>
    </row>
    <row r="665" spans="1:2" x14ac:dyDescent="0.25">
      <c r="A665" s="29"/>
      <c r="B665" s="29"/>
    </row>
    <row r="666" spans="1:2" x14ac:dyDescent="0.25">
      <c r="A666" s="29"/>
      <c r="B666" s="29"/>
    </row>
    <row r="667" spans="1:2" x14ac:dyDescent="0.25">
      <c r="A667" s="29"/>
      <c r="B667" s="29"/>
    </row>
    <row r="668" spans="1:2" x14ac:dyDescent="0.25">
      <c r="A668" s="29"/>
      <c r="B668" s="29"/>
    </row>
    <row r="669" spans="1:2" x14ac:dyDescent="0.25">
      <c r="A669" s="29"/>
      <c r="B669" s="29"/>
    </row>
    <row r="670" spans="1:2" x14ac:dyDescent="0.25">
      <c r="A670" s="29"/>
      <c r="B670" s="29"/>
    </row>
    <row r="671" spans="1:2" x14ac:dyDescent="0.25">
      <c r="A671" s="29"/>
      <c r="B671" s="29"/>
    </row>
    <row r="672" spans="1:2" x14ac:dyDescent="0.25">
      <c r="A672" s="29"/>
      <c r="B672" s="29"/>
    </row>
    <row r="673" spans="1:2" x14ac:dyDescent="0.25">
      <c r="A673" s="29"/>
      <c r="B673" s="29"/>
    </row>
    <row r="674" spans="1:2" x14ac:dyDescent="0.25">
      <c r="A674" s="29"/>
      <c r="B674" s="29"/>
    </row>
    <row r="675" spans="1:2" x14ac:dyDescent="0.25">
      <c r="A675" s="29"/>
      <c r="B675" s="29"/>
    </row>
    <row r="676" spans="1:2" x14ac:dyDescent="0.25">
      <c r="A676" s="29"/>
      <c r="B676" s="29"/>
    </row>
    <row r="677" spans="1:2" x14ac:dyDescent="0.25">
      <c r="A677" s="29"/>
      <c r="B677" s="29"/>
    </row>
    <row r="678" spans="1:2" x14ac:dyDescent="0.25">
      <c r="A678" s="29"/>
      <c r="B678" s="29"/>
    </row>
    <row r="679" spans="1:2" x14ac:dyDescent="0.25">
      <c r="A679" s="29"/>
      <c r="B679" s="29"/>
    </row>
    <row r="680" spans="1:2" x14ac:dyDescent="0.25">
      <c r="A680" s="29"/>
      <c r="B680" s="29"/>
    </row>
    <row r="681" spans="1:2" x14ac:dyDescent="0.25">
      <c r="A681" s="29"/>
      <c r="B681" s="29"/>
    </row>
    <row r="682" spans="1:2" x14ac:dyDescent="0.25">
      <c r="A682" s="29"/>
      <c r="B682" s="29"/>
    </row>
    <row r="683" spans="1:2" x14ac:dyDescent="0.25">
      <c r="A683" s="29"/>
      <c r="B683" s="29"/>
    </row>
    <row r="684" spans="1:2" x14ac:dyDescent="0.25">
      <c r="A684" s="29"/>
      <c r="B684" s="29"/>
    </row>
    <row r="685" spans="1:2" x14ac:dyDescent="0.25">
      <c r="A685" s="29"/>
      <c r="B685" s="29"/>
    </row>
    <row r="686" spans="1:2" x14ac:dyDescent="0.25">
      <c r="A686" s="29"/>
      <c r="B686" s="29"/>
    </row>
    <row r="687" spans="1:2" x14ac:dyDescent="0.25">
      <c r="A687" s="29"/>
      <c r="B687" s="29"/>
    </row>
    <row r="688" spans="1:2" x14ac:dyDescent="0.25">
      <c r="A688" s="29"/>
      <c r="B688" s="29"/>
    </row>
    <row r="689" spans="1:2" x14ac:dyDescent="0.25">
      <c r="A689" s="29"/>
      <c r="B689" s="29"/>
    </row>
    <row r="690" spans="1:2" x14ac:dyDescent="0.25">
      <c r="A690" s="29"/>
      <c r="B690" s="29"/>
    </row>
    <row r="691" spans="1:2" x14ac:dyDescent="0.25">
      <c r="A691" s="29"/>
      <c r="B691" s="29"/>
    </row>
    <row r="692" spans="1:2" x14ac:dyDescent="0.25">
      <c r="A692" s="29"/>
      <c r="B692" s="29"/>
    </row>
    <row r="693" spans="1:2" x14ac:dyDescent="0.25">
      <c r="A693" s="29"/>
      <c r="B693" s="29"/>
    </row>
    <row r="694" spans="1:2" x14ac:dyDescent="0.25">
      <c r="A694" s="29"/>
      <c r="B694" s="29"/>
    </row>
    <row r="695" spans="1:2" x14ac:dyDescent="0.25">
      <c r="A695" s="29"/>
      <c r="B695" s="29"/>
    </row>
    <row r="696" spans="1:2" x14ac:dyDescent="0.25">
      <c r="A696" s="29"/>
      <c r="B696" s="29"/>
    </row>
    <row r="697" spans="1:2" x14ac:dyDescent="0.25">
      <c r="A697" s="29"/>
      <c r="B697" s="29"/>
    </row>
    <row r="698" spans="1:2" x14ac:dyDescent="0.25">
      <c r="A698" s="29"/>
      <c r="B698" s="29"/>
    </row>
    <row r="699" spans="1:2" x14ac:dyDescent="0.25">
      <c r="A699" s="29"/>
      <c r="B699" s="29"/>
    </row>
    <row r="700" spans="1:2" x14ac:dyDescent="0.25">
      <c r="A700" s="29"/>
      <c r="B700" s="29"/>
    </row>
    <row r="701" spans="1:2" x14ac:dyDescent="0.25">
      <c r="A701" s="29"/>
      <c r="B701" s="29"/>
    </row>
    <row r="702" spans="1:2" x14ac:dyDescent="0.25">
      <c r="A702" s="29"/>
      <c r="B702" s="29"/>
    </row>
    <row r="703" spans="1:2" x14ac:dyDescent="0.25">
      <c r="A703" s="29"/>
      <c r="B703" s="29"/>
    </row>
    <row r="704" spans="1:2" x14ac:dyDescent="0.25">
      <c r="A704" s="29"/>
      <c r="B704" s="29"/>
    </row>
    <row r="705" spans="1:2" x14ac:dyDescent="0.25">
      <c r="A705" s="29"/>
      <c r="B705" s="29"/>
    </row>
    <row r="706" spans="1:2" x14ac:dyDescent="0.25">
      <c r="A706" s="29"/>
      <c r="B706" s="29"/>
    </row>
    <row r="707" spans="1:2" x14ac:dyDescent="0.25">
      <c r="A707" s="29"/>
      <c r="B707" s="29"/>
    </row>
    <row r="708" spans="1:2" x14ac:dyDescent="0.25">
      <c r="A708" s="29"/>
      <c r="B708" s="29"/>
    </row>
    <row r="709" spans="1:2" x14ac:dyDescent="0.25">
      <c r="A709" s="29"/>
      <c r="B709" s="29"/>
    </row>
    <row r="710" spans="1:2" x14ac:dyDescent="0.25">
      <c r="A710" s="29"/>
      <c r="B710" s="29"/>
    </row>
    <row r="711" spans="1:2" x14ac:dyDescent="0.25">
      <c r="A711" s="29"/>
      <c r="B711" s="29"/>
    </row>
    <row r="712" spans="1:2" x14ac:dyDescent="0.25">
      <c r="A712" s="29"/>
      <c r="B712" s="29"/>
    </row>
    <row r="713" spans="1:2" x14ac:dyDescent="0.25">
      <c r="A713" s="29"/>
      <c r="B713" s="29"/>
    </row>
    <row r="714" spans="1:2" x14ac:dyDescent="0.25">
      <c r="A714" s="29"/>
      <c r="B714" s="29"/>
    </row>
    <row r="715" spans="1:2" x14ac:dyDescent="0.25">
      <c r="A715" s="29"/>
      <c r="B715" s="29"/>
    </row>
    <row r="716" spans="1:2" x14ac:dyDescent="0.25">
      <c r="A716" s="29"/>
      <c r="B716" s="29"/>
    </row>
    <row r="717" spans="1:2" x14ac:dyDescent="0.25">
      <c r="A717" s="29"/>
      <c r="B717" s="29"/>
    </row>
    <row r="718" spans="1:2" x14ac:dyDescent="0.25">
      <c r="A718" s="29"/>
      <c r="B718" s="29"/>
    </row>
    <row r="719" spans="1:2" x14ac:dyDescent="0.25">
      <c r="A719" s="29"/>
      <c r="B719" s="29"/>
    </row>
    <row r="720" spans="1:2" x14ac:dyDescent="0.25">
      <c r="A720" s="29"/>
      <c r="B720" s="29"/>
    </row>
    <row r="721" spans="1:2" x14ac:dyDescent="0.25">
      <c r="A721" s="29"/>
      <c r="B721" s="29"/>
    </row>
    <row r="722" spans="1:2" x14ac:dyDescent="0.25">
      <c r="A722" s="29"/>
      <c r="B722" s="29"/>
    </row>
    <row r="723" spans="1:2" x14ac:dyDescent="0.25">
      <c r="A723" s="29"/>
      <c r="B723" s="29"/>
    </row>
    <row r="724" spans="1:2" x14ac:dyDescent="0.25">
      <c r="A724" s="29"/>
      <c r="B724" s="29"/>
    </row>
    <row r="725" spans="1:2" x14ac:dyDescent="0.25">
      <c r="A725" s="29"/>
      <c r="B725" s="29"/>
    </row>
    <row r="726" spans="1:2" x14ac:dyDescent="0.25">
      <c r="A726" s="29"/>
      <c r="B726" s="29"/>
    </row>
    <row r="727" spans="1:2" x14ac:dyDescent="0.25">
      <c r="A727" s="29"/>
      <c r="B727" s="29"/>
    </row>
    <row r="728" spans="1:2" x14ac:dyDescent="0.25">
      <c r="A728" s="29"/>
      <c r="B728" s="29"/>
    </row>
    <row r="729" spans="1:2" x14ac:dyDescent="0.25">
      <c r="A729" s="29"/>
      <c r="B729" s="29"/>
    </row>
    <row r="730" spans="1:2" x14ac:dyDescent="0.25">
      <c r="A730" s="29"/>
      <c r="B730" s="29"/>
    </row>
    <row r="731" spans="1:2" x14ac:dyDescent="0.25">
      <c r="A731" s="29"/>
      <c r="B731" s="29"/>
    </row>
    <row r="732" spans="1:2" x14ac:dyDescent="0.25">
      <c r="A732" s="29"/>
      <c r="B732" s="29"/>
    </row>
    <row r="733" spans="1:2" x14ac:dyDescent="0.25">
      <c r="A733" s="29"/>
      <c r="B733" s="29"/>
    </row>
    <row r="734" spans="1:2" x14ac:dyDescent="0.25">
      <c r="A734" s="29"/>
      <c r="B734" s="29"/>
    </row>
    <row r="735" spans="1:2" x14ac:dyDescent="0.25">
      <c r="A735" s="29"/>
      <c r="B735" s="29"/>
    </row>
    <row r="736" spans="1:2" x14ac:dyDescent="0.25">
      <c r="A736" s="29"/>
      <c r="B736" s="29"/>
    </row>
    <row r="737" spans="1:2" x14ac:dyDescent="0.25">
      <c r="A737" s="29"/>
      <c r="B737" s="29"/>
    </row>
    <row r="738" spans="1:2" x14ac:dyDescent="0.25">
      <c r="A738" s="29"/>
      <c r="B738" s="29"/>
    </row>
    <row r="739" spans="1:2" x14ac:dyDescent="0.25">
      <c r="A739" s="29"/>
      <c r="B739" s="29"/>
    </row>
    <row r="740" spans="1:2" x14ac:dyDescent="0.25">
      <c r="A740" s="29"/>
      <c r="B740" s="29"/>
    </row>
    <row r="741" spans="1:2" x14ac:dyDescent="0.25">
      <c r="A741" s="29"/>
      <c r="B741" s="29"/>
    </row>
    <row r="742" spans="1:2" x14ac:dyDescent="0.25">
      <c r="A742" s="29"/>
      <c r="B742" s="29"/>
    </row>
    <row r="743" spans="1:2" x14ac:dyDescent="0.25">
      <c r="A743" s="29"/>
      <c r="B743" s="29"/>
    </row>
    <row r="744" spans="1:2" x14ac:dyDescent="0.25">
      <c r="A744" s="29"/>
      <c r="B744" s="29"/>
    </row>
    <row r="745" spans="1:2" x14ac:dyDescent="0.25">
      <c r="A745" s="29"/>
      <c r="B745" s="29"/>
    </row>
    <row r="746" spans="1:2" x14ac:dyDescent="0.25">
      <c r="A746" s="29"/>
      <c r="B746" s="29"/>
    </row>
    <row r="747" spans="1:2" x14ac:dyDescent="0.25">
      <c r="A747" s="29"/>
      <c r="B747" s="29"/>
    </row>
    <row r="748" spans="1:2" x14ac:dyDescent="0.25">
      <c r="A748" s="29"/>
      <c r="B748" s="29"/>
    </row>
    <row r="749" spans="1:2" x14ac:dyDescent="0.25">
      <c r="A749" s="29"/>
      <c r="B749" s="29"/>
    </row>
    <row r="750" spans="1:2" x14ac:dyDescent="0.25">
      <c r="A750" s="29"/>
      <c r="B750" s="29"/>
    </row>
    <row r="751" spans="1:2" x14ac:dyDescent="0.25">
      <c r="A751" s="29"/>
      <c r="B751" s="29"/>
    </row>
    <row r="752" spans="1:2" x14ac:dyDescent="0.25">
      <c r="A752" s="29"/>
      <c r="B752" s="29"/>
    </row>
    <row r="753" spans="1:2" x14ac:dyDescent="0.25">
      <c r="A753" s="29"/>
      <c r="B753" s="29"/>
    </row>
    <row r="754" spans="1:2" x14ac:dyDescent="0.25">
      <c r="A754" s="29"/>
      <c r="B754" s="29"/>
    </row>
    <row r="755" spans="1:2" x14ac:dyDescent="0.25">
      <c r="A755" s="29"/>
      <c r="B755" s="29"/>
    </row>
    <row r="756" spans="1:2" x14ac:dyDescent="0.25">
      <c r="A756" s="29"/>
      <c r="B756" s="29"/>
    </row>
    <row r="757" spans="1:2" x14ac:dyDescent="0.25">
      <c r="A757" s="29"/>
      <c r="B757" s="29"/>
    </row>
    <row r="758" spans="1:2" x14ac:dyDescent="0.25">
      <c r="A758" s="29"/>
      <c r="B758" s="29"/>
    </row>
    <row r="759" spans="1:2" x14ac:dyDescent="0.25">
      <c r="A759" s="29"/>
      <c r="B759" s="29"/>
    </row>
    <row r="760" spans="1:2" x14ac:dyDescent="0.25">
      <c r="A760" s="29"/>
      <c r="B760" s="29"/>
    </row>
    <row r="761" spans="1:2" x14ac:dyDescent="0.25">
      <c r="A761" s="29"/>
      <c r="B761" s="29"/>
    </row>
    <row r="762" spans="1:2" x14ac:dyDescent="0.25">
      <c r="A762" s="29"/>
      <c r="B762" s="29"/>
    </row>
    <row r="763" spans="1:2" x14ac:dyDescent="0.25">
      <c r="A763" s="29"/>
      <c r="B763" s="29"/>
    </row>
    <row r="764" spans="1:2" x14ac:dyDescent="0.25">
      <c r="A764" s="29"/>
      <c r="B764" s="29"/>
    </row>
    <row r="765" spans="1:2" x14ac:dyDescent="0.25">
      <c r="A765" s="29"/>
      <c r="B765" s="29"/>
    </row>
    <row r="766" spans="1:2" x14ac:dyDescent="0.25">
      <c r="A766" s="29"/>
      <c r="B766" s="29"/>
    </row>
    <row r="767" spans="1:2" x14ac:dyDescent="0.25">
      <c r="A767" s="29"/>
      <c r="B767" s="29"/>
    </row>
    <row r="768" spans="1:2" x14ac:dyDescent="0.25">
      <c r="A768" s="29"/>
      <c r="B768" s="29"/>
    </row>
    <row r="769" spans="1:2" x14ac:dyDescent="0.25">
      <c r="A769" s="29"/>
      <c r="B769" s="29"/>
    </row>
    <row r="770" spans="1:2" x14ac:dyDescent="0.25">
      <c r="A770" s="29"/>
      <c r="B770" s="29"/>
    </row>
    <row r="771" spans="1:2" x14ac:dyDescent="0.25">
      <c r="A771" s="29"/>
      <c r="B771" s="29"/>
    </row>
    <row r="772" spans="1:2" x14ac:dyDescent="0.25">
      <c r="A772" s="29"/>
      <c r="B772" s="29"/>
    </row>
    <row r="773" spans="1:2" x14ac:dyDescent="0.25">
      <c r="A773" s="29"/>
      <c r="B773" s="29"/>
    </row>
    <row r="774" spans="1:2" x14ac:dyDescent="0.25">
      <c r="A774" s="29"/>
      <c r="B774" s="29"/>
    </row>
    <row r="775" spans="1:2" x14ac:dyDescent="0.25">
      <c r="A775" s="29"/>
      <c r="B775" s="29"/>
    </row>
    <row r="776" spans="1:2" x14ac:dyDescent="0.25">
      <c r="A776" s="29"/>
      <c r="B776" s="29"/>
    </row>
    <row r="777" spans="1:2" x14ac:dyDescent="0.25">
      <c r="A777" s="29"/>
      <c r="B777" s="29"/>
    </row>
    <row r="778" spans="1:2" x14ac:dyDescent="0.25">
      <c r="A778" s="29"/>
      <c r="B778" s="29"/>
    </row>
    <row r="779" spans="1:2" x14ac:dyDescent="0.25">
      <c r="A779" s="29"/>
      <c r="B779" s="29"/>
    </row>
    <row r="780" spans="1:2" x14ac:dyDescent="0.25">
      <c r="A780" s="29"/>
      <c r="B780" s="29"/>
    </row>
    <row r="781" spans="1:2" x14ac:dyDescent="0.25">
      <c r="A781" s="29"/>
      <c r="B781" s="29"/>
    </row>
    <row r="782" spans="1:2" x14ac:dyDescent="0.25">
      <c r="A782" s="29"/>
      <c r="B782" s="29"/>
    </row>
    <row r="783" spans="1:2" x14ac:dyDescent="0.25">
      <c r="A783" s="29"/>
      <c r="B783" s="29"/>
    </row>
    <row r="784" spans="1:2" x14ac:dyDescent="0.25">
      <c r="A784" s="29"/>
      <c r="B784" s="29"/>
    </row>
    <row r="785" spans="1:2" x14ac:dyDescent="0.25">
      <c r="A785" s="29"/>
      <c r="B785" s="29"/>
    </row>
    <row r="786" spans="1:2" x14ac:dyDescent="0.25">
      <c r="A786" s="29"/>
      <c r="B786" s="29"/>
    </row>
    <row r="787" spans="1:2" x14ac:dyDescent="0.25">
      <c r="A787" s="29"/>
      <c r="B787" s="29"/>
    </row>
    <row r="788" spans="1:2" x14ac:dyDescent="0.25">
      <c r="A788" s="29"/>
      <c r="B788" s="29"/>
    </row>
    <row r="789" spans="1:2" x14ac:dyDescent="0.25">
      <c r="A789" s="29"/>
      <c r="B789" s="29"/>
    </row>
    <row r="790" spans="1:2" x14ac:dyDescent="0.25">
      <c r="A790" s="29"/>
      <c r="B790" s="29"/>
    </row>
    <row r="791" spans="1:2" x14ac:dyDescent="0.25">
      <c r="A791" s="29"/>
      <c r="B791" s="29"/>
    </row>
    <row r="792" spans="1:2" x14ac:dyDescent="0.25">
      <c r="A792" s="29"/>
      <c r="B792" s="29"/>
    </row>
    <row r="793" spans="1:2" x14ac:dyDescent="0.25">
      <c r="A793" s="29"/>
      <c r="B793" s="29"/>
    </row>
    <row r="794" spans="1:2" x14ac:dyDescent="0.25">
      <c r="A794" s="29"/>
      <c r="B794" s="29"/>
    </row>
    <row r="795" spans="1:2" x14ac:dyDescent="0.25">
      <c r="A795" s="29"/>
      <c r="B795" s="29"/>
    </row>
    <row r="796" spans="1:2" x14ac:dyDescent="0.25">
      <c r="A796" s="29"/>
      <c r="B796" s="29"/>
    </row>
    <row r="797" spans="1:2" x14ac:dyDescent="0.25">
      <c r="A797" s="29"/>
      <c r="B797" s="29"/>
    </row>
    <row r="798" spans="1:2" x14ac:dyDescent="0.25">
      <c r="A798" s="29"/>
      <c r="B798" s="29"/>
    </row>
    <row r="799" spans="1:2" x14ac:dyDescent="0.25">
      <c r="A799" s="29"/>
      <c r="B799" s="29"/>
    </row>
    <row r="800" spans="1:2" x14ac:dyDescent="0.25">
      <c r="A800" s="29"/>
      <c r="B800" s="29"/>
    </row>
    <row r="801" spans="1:2" x14ac:dyDescent="0.25">
      <c r="A801" s="29"/>
      <c r="B801" s="29"/>
    </row>
    <row r="802" spans="1:2" x14ac:dyDescent="0.25">
      <c r="A802" s="29"/>
      <c r="B802" s="29"/>
    </row>
    <row r="803" spans="1:2" x14ac:dyDescent="0.25">
      <c r="A803" s="29"/>
      <c r="B803" s="29"/>
    </row>
    <row r="804" spans="1:2" x14ac:dyDescent="0.25">
      <c r="A804" s="29"/>
      <c r="B804" s="29"/>
    </row>
    <row r="805" spans="1:2" x14ac:dyDescent="0.25">
      <c r="A805" s="29"/>
      <c r="B805" s="29"/>
    </row>
    <row r="806" spans="1:2" x14ac:dyDescent="0.25">
      <c r="A806" s="29"/>
      <c r="B806" s="29"/>
    </row>
    <row r="807" spans="1:2" x14ac:dyDescent="0.25">
      <c r="A807" s="29"/>
      <c r="B807" s="29"/>
    </row>
    <row r="808" spans="1:2" x14ac:dyDescent="0.25">
      <c r="A808" s="29"/>
      <c r="B808" s="29"/>
    </row>
    <row r="809" spans="1:2" x14ac:dyDescent="0.25">
      <c r="A809" s="29"/>
      <c r="B809" s="29"/>
    </row>
    <row r="810" spans="1:2" x14ac:dyDescent="0.25">
      <c r="A810" s="29"/>
      <c r="B810" s="29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Image1">
          <controlPr defaultSize="0" autoLine="0" r:id="rId4">
            <anchor moveWithCells="1">
              <from>
                <xdr:col>0</xdr:col>
                <xdr:colOff>571500</xdr:colOff>
                <xdr:row>3</xdr:row>
                <xdr:rowOff>171450</xdr:rowOff>
              </from>
              <to>
                <xdr:col>1</xdr:col>
                <xdr:colOff>1028700</xdr:colOff>
                <xdr:row>9</xdr:row>
                <xdr:rowOff>104775</xdr:rowOff>
              </to>
            </anchor>
          </controlPr>
        </control>
      </mc:Choice>
      <mc:Fallback>
        <control shapeId="11266" r:id="rId3" name="Image1"/>
      </mc:Fallback>
    </mc:AlternateContent>
    <mc:AlternateContent xmlns:mc="http://schemas.openxmlformats.org/markup-compatibility/2006">
      <mc:Choice Requires="x14">
        <control shapeId="11267" r:id="rId5" name="Image2">
          <controlPr defaultSize="0" autoLine="0" r:id="rId6">
            <anchor moveWithCells="1">
              <from>
                <xdr:col>0</xdr:col>
                <xdr:colOff>552450</xdr:colOff>
                <xdr:row>13</xdr:row>
                <xdr:rowOff>114300</xdr:rowOff>
              </from>
              <to>
                <xdr:col>1</xdr:col>
                <xdr:colOff>1009650</xdr:colOff>
                <xdr:row>19</xdr:row>
                <xdr:rowOff>47625</xdr:rowOff>
              </to>
            </anchor>
          </controlPr>
        </control>
      </mc:Choice>
      <mc:Fallback>
        <control shapeId="11267" r:id="rId5" name="Image2"/>
      </mc:Fallback>
    </mc:AlternateContent>
    <mc:AlternateContent xmlns:mc="http://schemas.openxmlformats.org/markup-compatibility/2006">
      <mc:Choice Requires="x14">
        <control shapeId="11270" r:id="rId7" name="Label1">
          <controlPr defaultSize="0" autoLine="0" r:id="rId8">
            <anchor moveWithCells="1">
              <from>
                <xdr:col>0</xdr:col>
                <xdr:colOff>561975</xdr:colOff>
                <xdr:row>10</xdr:row>
                <xdr:rowOff>47625</xdr:rowOff>
              </from>
              <to>
                <xdr:col>1</xdr:col>
                <xdr:colOff>962025</xdr:colOff>
                <xdr:row>11</xdr:row>
                <xdr:rowOff>104775</xdr:rowOff>
              </to>
            </anchor>
          </controlPr>
        </control>
      </mc:Choice>
      <mc:Fallback>
        <control shapeId="11270" r:id="rId7" name="Label1"/>
      </mc:Fallback>
    </mc:AlternateContent>
    <mc:AlternateContent xmlns:mc="http://schemas.openxmlformats.org/markup-compatibility/2006">
      <mc:Choice Requires="x14">
        <control shapeId="11272" r:id="rId9" name="Label2">
          <controlPr defaultSize="0" autoLine="0" r:id="rId10">
            <anchor moveWithCells="1">
              <from>
                <xdr:col>0</xdr:col>
                <xdr:colOff>533400</xdr:colOff>
                <xdr:row>19</xdr:row>
                <xdr:rowOff>76200</xdr:rowOff>
              </from>
              <to>
                <xdr:col>1</xdr:col>
                <xdr:colOff>942975</xdr:colOff>
                <xdr:row>20</xdr:row>
                <xdr:rowOff>133350</xdr:rowOff>
              </to>
            </anchor>
          </controlPr>
        </control>
      </mc:Choice>
      <mc:Fallback>
        <control shapeId="11272" r:id="rId9" name="Label2"/>
      </mc:Fallback>
    </mc:AlternateContent>
    <mc:AlternateContent xmlns:mc="http://schemas.openxmlformats.org/markup-compatibility/2006">
      <mc:Choice Requires="x14">
        <control shapeId="11273" r:id="rId11" name="Image3">
          <controlPr defaultSize="0" autoLine="0" autoPict="0" r:id="rId12">
            <anchor moveWithCells="1">
              <from>
                <xdr:col>0</xdr:col>
                <xdr:colOff>495300</xdr:colOff>
                <xdr:row>21</xdr:row>
                <xdr:rowOff>180975</xdr:rowOff>
              </from>
              <to>
                <xdr:col>1</xdr:col>
                <xdr:colOff>962025</xdr:colOff>
                <xdr:row>28</xdr:row>
                <xdr:rowOff>47625</xdr:rowOff>
              </to>
            </anchor>
          </controlPr>
        </control>
      </mc:Choice>
      <mc:Fallback>
        <control shapeId="11273" r:id="rId11" name="Image3"/>
      </mc:Fallback>
    </mc:AlternateContent>
    <mc:AlternateContent xmlns:mc="http://schemas.openxmlformats.org/markup-compatibility/2006">
      <mc:Choice Requires="x14">
        <control shapeId="11274" r:id="rId13" name="Label3">
          <controlPr defaultSize="0" autoLine="0" r:id="rId14">
            <anchor moveWithCells="1">
              <from>
                <xdr:col>0</xdr:col>
                <xdr:colOff>533400</xdr:colOff>
                <xdr:row>29</xdr:row>
                <xdr:rowOff>9525</xdr:rowOff>
              </from>
              <to>
                <xdr:col>1</xdr:col>
                <xdr:colOff>942975</xdr:colOff>
                <xdr:row>30</xdr:row>
                <xdr:rowOff>66675</xdr:rowOff>
              </to>
            </anchor>
          </controlPr>
        </control>
      </mc:Choice>
      <mc:Fallback>
        <control shapeId="11274" r:id="rId13" name="Label3"/>
      </mc:Fallback>
    </mc:AlternateContent>
    <mc:AlternateContent xmlns:mc="http://schemas.openxmlformats.org/markup-compatibility/2006">
      <mc:Choice Requires="x14">
        <control shapeId="11275" r:id="rId15" name="Label4">
          <controlPr defaultSize="0" autoLine="0" r:id="rId16">
            <anchor moveWithCells="1">
              <from>
                <xdr:col>0</xdr:col>
                <xdr:colOff>419100</xdr:colOff>
                <xdr:row>39</xdr:row>
                <xdr:rowOff>152400</xdr:rowOff>
              </from>
              <to>
                <xdr:col>1</xdr:col>
                <xdr:colOff>838200</xdr:colOff>
                <xdr:row>41</xdr:row>
                <xdr:rowOff>19050</xdr:rowOff>
              </to>
            </anchor>
          </controlPr>
        </control>
      </mc:Choice>
      <mc:Fallback>
        <control shapeId="11275" r:id="rId15" name="Label4"/>
      </mc:Fallback>
    </mc:AlternateContent>
    <mc:AlternateContent xmlns:mc="http://schemas.openxmlformats.org/markup-compatibility/2006">
      <mc:Choice Requires="x14">
        <control shapeId="11276" r:id="rId17" name="Image4">
          <controlPr defaultSize="0" autoLine="0" r:id="rId18">
            <anchor moveWithCells="1">
              <from>
                <xdr:col>0</xdr:col>
                <xdr:colOff>514350</xdr:colOff>
                <xdr:row>31</xdr:row>
                <xdr:rowOff>123825</xdr:rowOff>
              </from>
              <to>
                <xdr:col>1</xdr:col>
                <xdr:colOff>990600</xdr:colOff>
                <xdr:row>37</xdr:row>
                <xdr:rowOff>180975</xdr:rowOff>
              </to>
            </anchor>
          </controlPr>
        </control>
      </mc:Choice>
      <mc:Fallback>
        <control shapeId="11276" r:id="rId17" name="Image4"/>
      </mc:Fallback>
    </mc:AlternateContent>
  </controls>
  <tableParts count="2">
    <tablePart r:id="rId19"/>
    <tablePart r:id="rId2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5D50B-9087-4C5E-AB28-5C8EF9579986}">
  <sheetPr codeName="Feuil10"/>
  <dimension ref="B3:I37"/>
  <sheetViews>
    <sheetView showGridLines="0" topLeftCell="D1" zoomScale="87" workbookViewId="0">
      <selection activeCell="I18" sqref="I18"/>
    </sheetView>
  </sheetViews>
  <sheetFormatPr baseColWidth="10" defaultColWidth="11.42578125" defaultRowHeight="15" x14ac:dyDescent="0.25"/>
  <cols>
    <col min="1" max="1" width="11.42578125" style="1"/>
    <col min="2" max="2" width="17.42578125" style="1" customWidth="1"/>
    <col min="3" max="3" width="19.140625" style="1" customWidth="1"/>
    <col min="4" max="4" width="14.5703125" style="1" customWidth="1"/>
    <col min="5" max="5" width="25" style="1" customWidth="1"/>
    <col min="6" max="6" width="22.7109375" style="1" customWidth="1"/>
    <col min="7" max="7" width="28.42578125" style="1" customWidth="1"/>
    <col min="8" max="8" width="22.5703125" style="1" customWidth="1"/>
    <col min="9" max="9" width="29" style="1" customWidth="1"/>
    <col min="10" max="16384" width="11.42578125" style="1"/>
  </cols>
  <sheetData>
    <row r="3" spans="2:9" ht="27" customHeight="1" x14ac:dyDescent="0.25"/>
    <row r="5" spans="2:9" x14ac:dyDescent="0.25">
      <c r="B5" s="1" t="s">
        <v>374</v>
      </c>
      <c r="C5" s="1" t="s">
        <v>171</v>
      </c>
      <c r="D5" s="1" t="s">
        <v>155</v>
      </c>
      <c r="E5" s="1" t="s">
        <v>9</v>
      </c>
      <c r="F5" s="1" t="s">
        <v>93</v>
      </c>
      <c r="G5" s="1" t="s">
        <v>95</v>
      </c>
      <c r="H5" s="1" t="s">
        <v>195</v>
      </c>
      <c r="I5" s="1" t="s">
        <v>375</v>
      </c>
    </row>
    <row r="6" spans="2:9" x14ac:dyDescent="0.25">
      <c r="B6" s="1" t="s">
        <v>409</v>
      </c>
      <c r="C6" s="1" t="s">
        <v>352</v>
      </c>
      <c r="D6" s="1" t="s">
        <v>140</v>
      </c>
      <c r="E6" s="1">
        <v>700</v>
      </c>
      <c r="F6" s="1">
        <v>12</v>
      </c>
      <c r="G6" s="1">
        <v>8400</v>
      </c>
      <c r="H6" s="35" t="s">
        <v>141</v>
      </c>
      <c r="I6" s="35" t="s">
        <v>410</v>
      </c>
    </row>
    <row r="7" spans="2:9" x14ac:dyDescent="0.25">
      <c r="B7" s="1" t="s">
        <v>409</v>
      </c>
      <c r="C7" s="1" t="s">
        <v>352</v>
      </c>
      <c r="D7" s="1" t="s">
        <v>394</v>
      </c>
      <c r="E7" s="1">
        <v>500</v>
      </c>
      <c r="F7" s="1">
        <v>1</v>
      </c>
      <c r="G7" s="1">
        <v>500</v>
      </c>
      <c r="H7" s="35" t="s">
        <v>395</v>
      </c>
      <c r="I7" s="35" t="s">
        <v>410</v>
      </c>
    </row>
    <row r="8" spans="2:9" x14ac:dyDescent="0.25">
      <c r="B8" s="1" t="s">
        <v>409</v>
      </c>
      <c r="C8" s="1" t="s">
        <v>352</v>
      </c>
      <c r="D8" s="1" t="s">
        <v>414</v>
      </c>
      <c r="E8" s="1">
        <v>2000</v>
      </c>
      <c r="F8" s="1">
        <v>1</v>
      </c>
      <c r="G8" s="1">
        <v>2000</v>
      </c>
      <c r="H8" s="35" t="s">
        <v>415</v>
      </c>
      <c r="I8" s="35" t="s">
        <v>410</v>
      </c>
    </row>
    <row r="9" spans="2:9" x14ac:dyDescent="0.25">
      <c r="B9" s="1" t="s">
        <v>413</v>
      </c>
      <c r="C9" s="1" t="s">
        <v>352</v>
      </c>
      <c r="D9" s="1" t="s">
        <v>166</v>
      </c>
      <c r="E9" s="1">
        <v>700</v>
      </c>
      <c r="F9" s="1">
        <v>10</v>
      </c>
      <c r="G9" s="1">
        <v>7000</v>
      </c>
      <c r="H9" s="35" t="s">
        <v>167</v>
      </c>
      <c r="I9" s="35" t="s">
        <v>410</v>
      </c>
    </row>
    <row r="10" spans="2:9" x14ac:dyDescent="0.25">
      <c r="B10" s="1" t="s">
        <v>413</v>
      </c>
      <c r="C10" s="1" t="s">
        <v>352</v>
      </c>
      <c r="D10" s="1" t="s">
        <v>394</v>
      </c>
      <c r="E10" s="1">
        <v>500</v>
      </c>
      <c r="F10" s="1">
        <v>45</v>
      </c>
      <c r="G10" s="1">
        <v>22500</v>
      </c>
      <c r="H10" s="35" t="s">
        <v>395</v>
      </c>
      <c r="I10" s="35" t="s">
        <v>410</v>
      </c>
    </row>
    <row r="11" spans="2:9" x14ac:dyDescent="0.25">
      <c r="B11" s="1" t="s">
        <v>413</v>
      </c>
      <c r="C11" s="1" t="s">
        <v>352</v>
      </c>
      <c r="D11" s="1" t="s">
        <v>396</v>
      </c>
      <c r="E11" s="1">
        <v>2000</v>
      </c>
      <c r="F11" s="1">
        <v>23</v>
      </c>
      <c r="G11" s="1">
        <v>46000</v>
      </c>
      <c r="H11" s="35" t="s">
        <v>397</v>
      </c>
      <c r="I11" s="35" t="s">
        <v>410</v>
      </c>
    </row>
    <row r="12" spans="2:9" x14ac:dyDescent="0.25">
      <c r="B12" s="1" t="s">
        <v>432</v>
      </c>
      <c r="C12" s="1" t="s">
        <v>352</v>
      </c>
      <c r="D12" s="1" t="s">
        <v>144</v>
      </c>
      <c r="E12" s="1">
        <v>25</v>
      </c>
      <c r="F12" s="1">
        <v>34</v>
      </c>
      <c r="G12" s="1">
        <v>850</v>
      </c>
      <c r="H12" s="35" t="s">
        <v>145</v>
      </c>
      <c r="I12" s="35" t="s">
        <v>410</v>
      </c>
    </row>
    <row r="13" spans="2:9" x14ac:dyDescent="0.25">
      <c r="B13" s="1" t="s">
        <v>433</v>
      </c>
      <c r="C13" s="1" t="s">
        <v>352</v>
      </c>
      <c r="D13" s="1" t="s">
        <v>144</v>
      </c>
      <c r="E13" s="1">
        <v>25</v>
      </c>
      <c r="F13" s="1">
        <v>34</v>
      </c>
      <c r="G13" s="1">
        <v>850</v>
      </c>
      <c r="H13" s="35" t="s">
        <v>145</v>
      </c>
      <c r="I13" s="35" t="s">
        <v>410</v>
      </c>
    </row>
    <row r="14" spans="2:9" x14ac:dyDescent="0.25">
      <c r="B14" s="1" t="s">
        <v>435</v>
      </c>
      <c r="C14" s="1" t="s">
        <v>352</v>
      </c>
      <c r="D14" s="1" t="s">
        <v>144</v>
      </c>
      <c r="E14" s="1">
        <v>25</v>
      </c>
      <c r="F14" s="1">
        <v>34</v>
      </c>
      <c r="G14" s="1">
        <v>850</v>
      </c>
      <c r="H14" s="35" t="s">
        <v>145</v>
      </c>
      <c r="I14" s="35" t="s">
        <v>410</v>
      </c>
    </row>
    <row r="15" spans="2:9" x14ac:dyDescent="0.25">
      <c r="B15" s="1" t="s">
        <v>436</v>
      </c>
      <c r="C15" s="1" t="s">
        <v>352</v>
      </c>
      <c r="D15" s="1" t="s">
        <v>372</v>
      </c>
      <c r="E15" s="1">
        <v>500</v>
      </c>
      <c r="F15" s="1">
        <v>4</v>
      </c>
      <c r="G15" s="1">
        <v>2000</v>
      </c>
      <c r="H15" s="35" t="s">
        <v>373</v>
      </c>
      <c r="I15" s="35" t="s">
        <v>410</v>
      </c>
    </row>
    <row r="16" spans="2:9" x14ac:dyDescent="0.25">
      <c r="B16" s="1" t="s">
        <v>437</v>
      </c>
      <c r="C16" s="1" t="s">
        <v>352</v>
      </c>
      <c r="D16" s="1" t="s">
        <v>372</v>
      </c>
      <c r="E16" s="1">
        <v>500</v>
      </c>
      <c r="F16" s="1">
        <v>4</v>
      </c>
      <c r="G16" s="1">
        <v>2000</v>
      </c>
      <c r="H16" s="35" t="s">
        <v>373</v>
      </c>
      <c r="I16" s="35" t="s">
        <v>410</v>
      </c>
    </row>
    <row r="17" spans="2:9" x14ac:dyDescent="0.25">
      <c r="B17" s="1" t="s">
        <v>439</v>
      </c>
      <c r="C17" s="1" t="s">
        <v>352</v>
      </c>
      <c r="D17" s="1" t="s">
        <v>278</v>
      </c>
      <c r="E17" s="1">
        <v>450000</v>
      </c>
      <c r="F17" s="1">
        <v>2</v>
      </c>
      <c r="G17" s="1">
        <v>900000</v>
      </c>
      <c r="H17" s="35" t="s">
        <v>279</v>
      </c>
      <c r="I17" s="35" t="s">
        <v>438</v>
      </c>
    </row>
    <row r="18" spans="2:9" x14ac:dyDescent="0.25">
      <c r="B18" s="1" t="s">
        <v>445</v>
      </c>
      <c r="C18" s="1" t="s">
        <v>441</v>
      </c>
      <c r="D18" s="1" t="s">
        <v>166</v>
      </c>
      <c r="E18" s="1">
        <v>700</v>
      </c>
      <c r="F18" s="1">
        <v>1</v>
      </c>
      <c r="G18" s="1">
        <v>700</v>
      </c>
      <c r="H18" s="35" t="s">
        <v>167</v>
      </c>
      <c r="I18" s="35" t="s">
        <v>438</v>
      </c>
    </row>
    <row r="19" spans="2:9" x14ac:dyDescent="0.25">
      <c r="B19" s="1" t="s">
        <v>462</v>
      </c>
      <c r="C19" s="1" t="s">
        <v>441</v>
      </c>
      <c r="D19" s="1" t="s">
        <v>414</v>
      </c>
      <c r="E19" s="1">
        <v>2000</v>
      </c>
      <c r="F19" s="1">
        <v>200</v>
      </c>
      <c r="G19" s="1">
        <v>400000</v>
      </c>
      <c r="H19" s="35" t="s">
        <v>415</v>
      </c>
      <c r="I19" s="35" t="s">
        <v>410</v>
      </c>
    </row>
    <row r="20" spans="2:9" x14ac:dyDescent="0.25">
      <c r="B20" s="1" t="s">
        <v>463</v>
      </c>
      <c r="C20" s="1" t="s">
        <v>441</v>
      </c>
      <c r="D20" s="1" t="s">
        <v>414</v>
      </c>
      <c r="E20" s="1">
        <v>2000</v>
      </c>
      <c r="F20" s="1">
        <v>200</v>
      </c>
      <c r="G20" s="1">
        <v>400000</v>
      </c>
      <c r="H20" s="35" t="s">
        <v>415</v>
      </c>
      <c r="I20" s="35" t="s">
        <v>410</v>
      </c>
    </row>
    <row r="21" spans="2:9" x14ac:dyDescent="0.25">
      <c r="B21" s="1" t="s">
        <v>468</v>
      </c>
      <c r="C21" s="1" t="s">
        <v>464</v>
      </c>
      <c r="D21" s="1" t="s">
        <v>276</v>
      </c>
      <c r="E21" s="1">
        <v>500000</v>
      </c>
      <c r="F21" s="1">
        <v>3</v>
      </c>
      <c r="G21" s="1">
        <v>1500000</v>
      </c>
      <c r="H21" s="35" t="s">
        <v>277</v>
      </c>
      <c r="I21" s="35" t="s">
        <v>410</v>
      </c>
    </row>
    <row r="22" spans="2:9" x14ac:dyDescent="0.25">
      <c r="B22" s="1" t="s">
        <v>468</v>
      </c>
      <c r="C22" s="1" t="s">
        <v>464</v>
      </c>
      <c r="D22" s="1" t="s">
        <v>424</v>
      </c>
      <c r="E22" s="1">
        <v>400</v>
      </c>
      <c r="F22" s="1">
        <v>1</v>
      </c>
      <c r="G22" s="1">
        <v>400</v>
      </c>
      <c r="H22" s="35" t="s">
        <v>425</v>
      </c>
      <c r="I22" s="35" t="s">
        <v>410</v>
      </c>
    </row>
    <row r="23" spans="2:9" x14ac:dyDescent="0.25">
      <c r="B23" s="1" t="s">
        <v>474</v>
      </c>
      <c r="C23" s="1" t="s">
        <v>469</v>
      </c>
      <c r="D23" s="1" t="s">
        <v>144</v>
      </c>
      <c r="E23" s="1">
        <v>25</v>
      </c>
      <c r="F23" s="1">
        <v>10</v>
      </c>
      <c r="G23" s="1">
        <v>250</v>
      </c>
      <c r="H23" s="35" t="s">
        <v>145</v>
      </c>
      <c r="I23" s="35" t="s">
        <v>410</v>
      </c>
    </row>
    <row r="24" spans="2:9" x14ac:dyDescent="0.25">
      <c r="B24" s="1" t="s">
        <v>474</v>
      </c>
      <c r="C24" s="1" t="s">
        <v>469</v>
      </c>
      <c r="D24" s="1" t="s">
        <v>22</v>
      </c>
      <c r="E24" s="1">
        <v>1000</v>
      </c>
      <c r="F24" s="1">
        <v>12</v>
      </c>
      <c r="G24" s="1">
        <v>12000</v>
      </c>
      <c r="H24" s="35" t="s">
        <v>23</v>
      </c>
      <c r="I24" s="35" t="s">
        <v>410</v>
      </c>
    </row>
    <row r="25" spans="2:9" x14ac:dyDescent="0.25">
      <c r="B25" s="1" t="s">
        <v>474</v>
      </c>
      <c r="C25" s="1" t="s">
        <v>469</v>
      </c>
      <c r="D25" s="1" t="s">
        <v>427</v>
      </c>
      <c r="E25" s="1">
        <v>300</v>
      </c>
      <c r="F25" s="1">
        <v>2</v>
      </c>
      <c r="G25" s="1">
        <v>600</v>
      </c>
      <c r="H25" s="35" t="s">
        <v>383</v>
      </c>
      <c r="I25" s="35" t="s">
        <v>410</v>
      </c>
    </row>
    <row r="26" spans="2:9" x14ac:dyDescent="0.25">
      <c r="B26" s="1" t="s">
        <v>493</v>
      </c>
      <c r="C26" s="1" t="s">
        <v>484</v>
      </c>
      <c r="D26" s="1" t="s">
        <v>489</v>
      </c>
      <c r="E26" s="1">
        <v>1500</v>
      </c>
      <c r="F26" s="1">
        <v>15</v>
      </c>
      <c r="G26" s="1">
        <v>22500</v>
      </c>
      <c r="H26" s="35" t="s">
        <v>482</v>
      </c>
      <c r="I26" s="35" t="s">
        <v>410</v>
      </c>
    </row>
    <row r="27" spans="2:9" x14ac:dyDescent="0.25">
      <c r="B27" s="1" t="s">
        <v>493</v>
      </c>
      <c r="C27" s="1" t="s">
        <v>484</v>
      </c>
      <c r="D27" s="1" t="s">
        <v>478</v>
      </c>
      <c r="E27" s="1">
        <v>1500</v>
      </c>
      <c r="F27" s="1">
        <v>5</v>
      </c>
      <c r="G27" s="1">
        <v>7500</v>
      </c>
      <c r="H27" s="35" t="s">
        <v>479</v>
      </c>
      <c r="I27" s="35" t="s">
        <v>410</v>
      </c>
    </row>
    <row r="28" spans="2:9" x14ac:dyDescent="0.25">
      <c r="B28" s="1" t="s">
        <v>493</v>
      </c>
      <c r="C28" s="1" t="s">
        <v>484</v>
      </c>
      <c r="D28" s="1" t="s">
        <v>476</v>
      </c>
      <c r="E28" s="1">
        <v>2200</v>
      </c>
      <c r="F28" s="1">
        <v>5</v>
      </c>
      <c r="G28" s="1">
        <v>11000</v>
      </c>
      <c r="H28" s="35" t="s">
        <v>480</v>
      </c>
      <c r="I28" s="35" t="s">
        <v>410</v>
      </c>
    </row>
    <row r="29" spans="2:9" x14ac:dyDescent="0.25">
      <c r="B29" s="1" t="s">
        <v>495</v>
      </c>
      <c r="C29" s="1" t="s">
        <v>484</v>
      </c>
      <c r="D29" s="1" t="s">
        <v>489</v>
      </c>
      <c r="E29" s="1">
        <v>1500</v>
      </c>
      <c r="F29" s="1">
        <v>15</v>
      </c>
      <c r="G29" s="1">
        <v>22500</v>
      </c>
      <c r="H29" s="35" t="s">
        <v>482</v>
      </c>
      <c r="I29" s="35" t="s">
        <v>410</v>
      </c>
    </row>
    <row r="30" spans="2:9" x14ac:dyDescent="0.25">
      <c r="B30" s="1" t="s">
        <v>495</v>
      </c>
      <c r="C30" s="1" t="s">
        <v>484</v>
      </c>
      <c r="D30" s="1" t="s">
        <v>476</v>
      </c>
      <c r="E30" s="1">
        <v>2200</v>
      </c>
      <c r="F30" s="1">
        <v>5</v>
      </c>
      <c r="G30" s="1">
        <v>11000</v>
      </c>
      <c r="H30" s="35" t="s">
        <v>480</v>
      </c>
      <c r="I30" s="35" t="s">
        <v>410</v>
      </c>
    </row>
    <row r="31" spans="2:9" x14ac:dyDescent="0.25">
      <c r="B31" s="1" t="s">
        <v>495</v>
      </c>
      <c r="C31" s="1" t="s">
        <v>484</v>
      </c>
      <c r="D31" s="1" t="s">
        <v>478</v>
      </c>
      <c r="E31" s="1">
        <v>1500</v>
      </c>
      <c r="F31" s="1">
        <v>5</v>
      </c>
      <c r="G31" s="1">
        <v>7500</v>
      </c>
      <c r="H31" s="35" t="s">
        <v>479</v>
      </c>
      <c r="I31" s="35" t="s">
        <v>410</v>
      </c>
    </row>
    <row r="32" spans="2:9" x14ac:dyDescent="0.25">
      <c r="B32" s="1" t="s">
        <v>496</v>
      </c>
      <c r="C32" s="1" t="s">
        <v>484</v>
      </c>
      <c r="D32" s="1" t="s">
        <v>489</v>
      </c>
      <c r="E32" s="1">
        <v>1250</v>
      </c>
      <c r="F32" s="1">
        <v>15</v>
      </c>
      <c r="G32" s="1">
        <v>18750</v>
      </c>
      <c r="H32" s="35" t="s">
        <v>482</v>
      </c>
      <c r="I32" s="35" t="s">
        <v>410</v>
      </c>
    </row>
    <row r="33" spans="2:9" x14ac:dyDescent="0.25">
      <c r="B33" s="1" t="s">
        <v>496</v>
      </c>
      <c r="C33" s="1" t="s">
        <v>484</v>
      </c>
      <c r="D33" s="1" t="s">
        <v>476</v>
      </c>
      <c r="E33" s="1">
        <v>2200</v>
      </c>
      <c r="F33" s="1">
        <v>5</v>
      </c>
      <c r="G33" s="1">
        <v>11000</v>
      </c>
      <c r="H33" s="35" t="s">
        <v>480</v>
      </c>
      <c r="I33" s="35" t="s">
        <v>410</v>
      </c>
    </row>
    <row r="34" spans="2:9" x14ac:dyDescent="0.25">
      <c r="B34" s="1" t="s">
        <v>496</v>
      </c>
      <c r="C34" s="1" t="s">
        <v>484</v>
      </c>
      <c r="D34" s="1" t="s">
        <v>478</v>
      </c>
      <c r="E34" s="1">
        <v>1500</v>
      </c>
      <c r="F34" s="1">
        <v>5</v>
      </c>
      <c r="G34" s="1">
        <v>7500</v>
      </c>
      <c r="H34" s="35" t="s">
        <v>479</v>
      </c>
      <c r="I34" s="35" t="s">
        <v>410</v>
      </c>
    </row>
    <row r="35" spans="2:9" x14ac:dyDescent="0.25">
      <c r="B35" s="1" t="s">
        <v>498</v>
      </c>
      <c r="C35" s="1" t="s">
        <v>484</v>
      </c>
      <c r="D35" s="1" t="s">
        <v>489</v>
      </c>
      <c r="E35" s="1">
        <v>1250</v>
      </c>
      <c r="F35" s="1">
        <v>10</v>
      </c>
      <c r="G35" s="1">
        <v>12500</v>
      </c>
      <c r="H35" s="35" t="s">
        <v>497</v>
      </c>
      <c r="I35" s="35" t="s">
        <v>410</v>
      </c>
    </row>
    <row r="36" spans="2:9" x14ac:dyDescent="0.25">
      <c r="B36" s="1" t="s">
        <v>498</v>
      </c>
      <c r="C36" s="1" t="s">
        <v>484</v>
      </c>
      <c r="D36" s="1" t="s">
        <v>476</v>
      </c>
      <c r="E36" s="1">
        <v>2200</v>
      </c>
      <c r="F36" s="1">
        <v>5</v>
      </c>
      <c r="G36" s="1">
        <v>11000</v>
      </c>
      <c r="H36" s="35" t="s">
        <v>480</v>
      </c>
      <c r="I36" s="35" t="s">
        <v>410</v>
      </c>
    </row>
    <row r="37" spans="2:9" x14ac:dyDescent="0.25">
      <c r="B37" s="1" t="s">
        <v>498</v>
      </c>
      <c r="C37" s="1" t="s">
        <v>484</v>
      </c>
      <c r="D37" s="1" t="s">
        <v>478</v>
      </c>
      <c r="E37" s="1">
        <v>1500</v>
      </c>
      <c r="F37" s="1">
        <v>5</v>
      </c>
      <c r="G37" s="1">
        <v>7500</v>
      </c>
      <c r="H37" s="35" t="s">
        <v>479</v>
      </c>
      <c r="I37" s="35" t="s">
        <v>410</v>
      </c>
    </row>
  </sheetData>
  <conditionalFormatting sqref="B5:I37">
    <cfRule type="expression" dxfId="10" priority="2">
      <formula>$I5="En attente"</formula>
    </cfRule>
  </conditionalFormatting>
  <dataValidations count="1">
    <dataValidation type="list" allowBlank="1" showInputMessage="1" showErrorMessage="1" sqref="I6:I37" xr:uid="{A4A05E45-1761-4362-B769-562518F44F7D}">
      <formula1>"En attente,Livre"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BD8BB-00B8-455D-83EA-8E088C813576}">
  <sheetPr codeName="Feuil13"/>
  <dimension ref="B5:G102"/>
  <sheetViews>
    <sheetView showGridLines="0" workbookViewId="0">
      <selection activeCell="D12" sqref="D12"/>
    </sheetView>
  </sheetViews>
  <sheetFormatPr baseColWidth="10" defaultColWidth="11.42578125" defaultRowHeight="15" x14ac:dyDescent="0.25"/>
  <cols>
    <col min="1" max="1" width="11.42578125" style="25"/>
    <col min="2" max="2" width="25.5703125" style="25" customWidth="1"/>
    <col min="3" max="3" width="24.140625" style="25" customWidth="1"/>
    <col min="4" max="4" width="19.5703125" style="25" customWidth="1"/>
    <col min="5" max="16384" width="11.42578125" style="25"/>
  </cols>
  <sheetData>
    <row r="5" spans="2:7" ht="46.5" x14ac:dyDescent="0.7">
      <c r="B5" s="64"/>
      <c r="C5" s="65" t="s">
        <v>448</v>
      </c>
      <c r="D5" s="66"/>
      <c r="E5" s="66"/>
      <c r="F5" s="65"/>
      <c r="G5" s="66"/>
    </row>
    <row r="6" spans="2:7" x14ac:dyDescent="0.25">
      <c r="B6" s="1"/>
    </row>
    <row r="7" spans="2:7" ht="21" customHeight="1" x14ac:dyDescent="0.3">
      <c r="B7" s="68" t="s">
        <v>458</v>
      </c>
    </row>
    <row r="8" spans="2:7" x14ac:dyDescent="0.25">
      <c r="B8" s="67">
        <v>218572200</v>
      </c>
    </row>
    <row r="9" spans="2:7" x14ac:dyDescent="0.25">
      <c r="B9" s="1">
        <v>7200</v>
      </c>
    </row>
    <row r="10" spans="2:7" x14ac:dyDescent="0.25">
      <c r="B10" s="1">
        <v>156000</v>
      </c>
    </row>
    <row r="11" spans="2:7" x14ac:dyDescent="0.25">
      <c r="B11" s="1">
        <v>445800</v>
      </c>
    </row>
    <row r="12" spans="2:7" x14ac:dyDescent="0.25">
      <c r="B12" s="1">
        <v>180000</v>
      </c>
    </row>
    <row r="13" spans="2:7" x14ac:dyDescent="0.25">
      <c r="B13" s="1"/>
    </row>
    <row r="14" spans="2:7" x14ac:dyDescent="0.25">
      <c r="B14" s="1"/>
    </row>
    <row r="15" spans="2:7" x14ac:dyDescent="0.25">
      <c r="B15" s="1"/>
    </row>
    <row r="16" spans="2:7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  <row r="27" spans="2:2" x14ac:dyDescent="0.25">
      <c r="B27" s="1"/>
    </row>
    <row r="28" spans="2:2" x14ac:dyDescent="0.25">
      <c r="B28" s="1"/>
    </row>
    <row r="29" spans="2:2" x14ac:dyDescent="0.25">
      <c r="B29" s="1"/>
    </row>
    <row r="30" spans="2:2" x14ac:dyDescent="0.25">
      <c r="B30" s="1"/>
    </row>
    <row r="31" spans="2:2" x14ac:dyDescent="0.25">
      <c r="B31" s="1"/>
    </row>
    <row r="32" spans="2:2" x14ac:dyDescent="0.25">
      <c r="B32" s="1"/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69" spans="2:2" x14ac:dyDescent="0.25">
      <c r="B69" s="1"/>
    </row>
    <row r="70" spans="2:2" x14ac:dyDescent="0.25">
      <c r="B70" s="1"/>
    </row>
    <row r="71" spans="2:2" x14ac:dyDescent="0.25">
      <c r="B71" s="1"/>
    </row>
    <row r="72" spans="2:2" x14ac:dyDescent="0.25">
      <c r="B72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76" spans="2:2" x14ac:dyDescent="0.25">
      <c r="B76" s="1"/>
    </row>
    <row r="77" spans="2:2" x14ac:dyDescent="0.25">
      <c r="B77" s="1"/>
    </row>
    <row r="78" spans="2:2" x14ac:dyDescent="0.25">
      <c r="B78" s="1"/>
    </row>
    <row r="79" spans="2:2" x14ac:dyDescent="0.25">
      <c r="B79" s="1"/>
    </row>
    <row r="80" spans="2:2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94" spans="2:2" x14ac:dyDescent="0.25">
      <c r="B94" s="1"/>
    </row>
    <row r="95" spans="2:2" x14ac:dyDescent="0.25">
      <c r="B95" s="1"/>
    </row>
    <row r="96" spans="2:2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 t="s">
        <v>449</v>
      </c>
    </row>
    <row r="102" spans="2:2" x14ac:dyDescent="0.25">
      <c r="B102" s="1">
        <f>SUM(B8:B100)</f>
        <v>219361200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12</vt:i4>
      </vt:variant>
    </vt:vector>
  </HeadingPairs>
  <TitlesOfParts>
    <vt:vector size="24" baseType="lpstr">
      <vt:lpstr>DASHBORD</vt:lpstr>
      <vt:lpstr>ARTICLE</vt:lpstr>
      <vt:lpstr>ORDER</vt:lpstr>
      <vt:lpstr>BONCMD</vt:lpstr>
      <vt:lpstr>BOOKING</vt:lpstr>
      <vt:lpstr>FOURNISSEUR</vt:lpstr>
      <vt:lpstr>CLIENT</vt:lpstr>
      <vt:lpstr>CONFIG</vt:lpstr>
      <vt:lpstr>FACTURE</vt:lpstr>
      <vt:lpstr>SECURITE</vt:lpstr>
      <vt:lpstr>COMMANDES</vt:lpstr>
      <vt:lpstr>DEPENSES CMD</vt:lpstr>
      <vt:lpstr>Article</vt:lpstr>
      <vt:lpstr>Articles</vt:lpstr>
      <vt:lpstr>Categorie</vt:lpstr>
      <vt:lpstr>Client</vt:lpstr>
      <vt:lpstr>Clients</vt:lpstr>
      <vt:lpstr>color2</vt:lpstr>
      <vt:lpstr>Fournisseur</vt:lpstr>
      <vt:lpstr>nomart</vt:lpstr>
      <vt:lpstr>Oreder</vt:lpstr>
      <vt:lpstr>SOURCE1</vt:lpstr>
      <vt:lpstr>BONCMD!Zone_d_impression</vt:lpstr>
      <vt:lpstr>FACTURE!Zone_d_impression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PROBOOK 445 G7</dc:creator>
  <cp:lastModifiedBy>PROBOOK 445 G7</cp:lastModifiedBy>
  <cp:lastPrinted>2025-08-05T12:48:07Z</cp:lastPrinted>
  <dcterms:created xsi:type="dcterms:W3CDTF">2025-04-13T22:12:37Z</dcterms:created>
  <dcterms:modified xsi:type="dcterms:W3CDTF">2025-11-03T14:56:59Z</dcterms:modified>
</cp:coreProperties>
</file>